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N:\FIT2\Desktop\"/>
    </mc:Choice>
  </mc:AlternateContent>
  <xr:revisionPtr revIDLastSave="0" documentId="8_{EA39E49B-B9A1-4E7A-B1F0-48C45BD28ABE}" xr6:coauthVersionLast="47" xr6:coauthVersionMax="47" xr10:uidLastSave="{00000000-0000-0000-0000-000000000000}"/>
  <bookViews>
    <workbookView xWindow="-110" yWindow="-110" windowWidth="19420" windowHeight="10420" xr2:uid="{4C49B81E-9089-412F-B625-A1AAC5B815AD}"/>
  </bookViews>
  <sheets>
    <sheet name="Content" sheetId="22" r:id="rId1"/>
    <sheet name="Solvency Need" sheetId="21" r:id="rId2"/>
    <sheet name="EU CC1 EN" sheetId="1" r:id="rId3"/>
    <sheet name="EU CC2 EN" sheetId="2" r:id="rId4"/>
    <sheet name="EU CCyB1 EN" sheetId="3" r:id="rId5"/>
    <sheet name="EU CCyB2 EN" sheetId="4" r:id="rId6"/>
    <sheet name="EU CR1 EN" sheetId="5" r:id="rId7"/>
    <sheet name="EU CR1-A EN" sheetId="6" r:id="rId8"/>
    <sheet name="EU CR2 EN" sheetId="7" r:id="rId9"/>
    <sheet name="EU CR3 EN" sheetId="8" r:id="rId10"/>
    <sheet name="EU CR4 EN" sheetId="9" r:id="rId11"/>
    <sheet name="EU CR5 EN" sheetId="10" r:id="rId12"/>
    <sheet name="EU CCR1 EN" sheetId="11" r:id="rId13"/>
    <sheet name="EU CCR2 EN" sheetId="12" r:id="rId14"/>
    <sheet name="EU CCR3 EN" sheetId="13" r:id="rId15"/>
    <sheet name="EU CCR5 EN" sheetId="14" r:id="rId16"/>
    <sheet name="EU CCR8 EN" sheetId="15" r:id="rId17"/>
    <sheet name="EU MR1 EN" sheetId="18" r:id="rId18"/>
    <sheet name="EU IRRBB1 EN" sheetId="19" r:id="rId19"/>
    <sheet name="EU LIQ2 EN" sheetId="20" r:id="rId20"/>
    <sheet name="EU LR1 - LRSum EN" sheetId="16" r:id="rId21"/>
    <sheet name="EU LR2 - LRCom EN" sheetId="17" r:id="rId22"/>
  </sheets>
  <externalReferences>
    <externalReference r:id="rId23"/>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2" i="17" l="1"/>
  <c r="D71" i="17"/>
  <c r="C70" i="17"/>
  <c r="C69" i="17"/>
  <c r="C68" i="17"/>
  <c r="D14" i="17"/>
  <c r="D26" i="17"/>
  <c r="D34" i="17"/>
  <c r="D39" i="17"/>
  <c r="D54" i="17"/>
  <c r="C8" i="17"/>
  <c r="C13" i="17"/>
  <c r="C14" i="17"/>
  <c r="C16" i="17"/>
  <c r="C18" i="17"/>
  <c r="C26" i="17"/>
  <c r="C28" i="17"/>
  <c r="C29" i="17"/>
  <c r="C34" i="17"/>
  <c r="C36" i="17"/>
  <c r="C37" i="17"/>
  <c r="C39" i="17"/>
  <c r="C54" i="17"/>
  <c r="C53" i="17"/>
  <c r="C7" i="16"/>
  <c r="C14" i="16"/>
  <c r="C15" i="16"/>
  <c r="C16" i="16"/>
  <c r="C20" i="16"/>
  <c r="C21" i="16"/>
  <c r="F11" i="19"/>
  <c r="E11" i="19"/>
  <c r="C16" i="18"/>
  <c r="N8" i="13"/>
  <c r="N9" i="13"/>
  <c r="N10" i="13"/>
  <c r="N11" i="13"/>
  <c r="N12" i="13"/>
  <c r="G13" i="13"/>
  <c r="H13" i="13"/>
  <c r="N13" i="13"/>
  <c r="K14" i="13"/>
  <c r="N14" i="13"/>
  <c r="J15" i="13"/>
  <c r="N15" i="13"/>
  <c r="N16" i="13"/>
  <c r="L17" i="13"/>
  <c r="N17" i="13"/>
  <c r="N18" i="13"/>
  <c r="M18" i="13"/>
  <c r="L18" i="13"/>
  <c r="K18" i="13"/>
  <c r="J18" i="13"/>
  <c r="I18" i="13"/>
  <c r="H18" i="13"/>
  <c r="G18" i="13"/>
  <c r="F18" i="13"/>
  <c r="E18" i="13"/>
  <c r="D18" i="13"/>
  <c r="C18" i="13"/>
  <c r="J17" i="11"/>
  <c r="I17" i="11"/>
  <c r="H17" i="11"/>
  <c r="G17" i="11"/>
  <c r="S13" i="10"/>
  <c r="S14" i="10"/>
  <c r="S24" i="10"/>
  <c r="R8" i="10"/>
  <c r="R9" i="10"/>
  <c r="R10" i="10"/>
  <c r="R11" i="10"/>
  <c r="R12" i="10"/>
  <c r="R13" i="10"/>
  <c r="R14" i="10"/>
  <c r="R15" i="10"/>
  <c r="R16" i="10"/>
  <c r="R17" i="10"/>
  <c r="R18" i="10"/>
  <c r="R19" i="10"/>
  <c r="R20" i="10"/>
  <c r="R21" i="10"/>
  <c r="R22" i="10"/>
  <c r="R23" i="10"/>
  <c r="R24" i="10"/>
  <c r="Q24" i="10"/>
  <c r="P24" i="10"/>
  <c r="O24" i="10"/>
  <c r="N24" i="10"/>
  <c r="M24" i="10"/>
  <c r="L24" i="10"/>
  <c r="K24" i="10"/>
  <c r="J24" i="10"/>
  <c r="I24" i="10"/>
  <c r="H24" i="10"/>
  <c r="G24" i="10"/>
  <c r="F24" i="10"/>
  <c r="E24" i="10"/>
  <c r="D24" i="10"/>
  <c r="C24" i="10"/>
  <c r="F24" i="9"/>
  <c r="E24" i="9"/>
  <c r="D24" i="9"/>
  <c r="C24" i="9"/>
  <c r="B24" i="9"/>
  <c r="F23" i="9"/>
  <c r="E23" i="9"/>
  <c r="D23" i="9"/>
  <c r="C23" i="9"/>
  <c r="B23" i="9"/>
  <c r="F22" i="9"/>
  <c r="D22" i="9"/>
  <c r="B22" i="9"/>
  <c r="F21" i="9"/>
  <c r="D21" i="9"/>
  <c r="B21" i="9"/>
  <c r="F18" i="9"/>
  <c r="E18" i="9"/>
  <c r="D18" i="9"/>
  <c r="C18" i="9"/>
  <c r="B18" i="9"/>
  <c r="F17" i="9"/>
  <c r="E17" i="9"/>
  <c r="D17" i="9"/>
  <c r="C17" i="9"/>
  <c r="B17" i="9"/>
  <c r="F16" i="9"/>
  <c r="E16" i="9"/>
  <c r="D16" i="9"/>
  <c r="C16" i="9"/>
  <c r="B16" i="9"/>
  <c r="F15" i="9"/>
  <c r="E15" i="9"/>
  <c r="D15" i="9"/>
  <c r="C15" i="9"/>
  <c r="B15" i="9"/>
  <c r="F14" i="9"/>
  <c r="E14" i="9"/>
  <c r="D14" i="9"/>
  <c r="C14" i="9"/>
  <c r="B14" i="9"/>
  <c r="F13" i="9"/>
  <c r="E13" i="9"/>
  <c r="D13" i="9"/>
  <c r="C13" i="9"/>
  <c r="B13" i="9"/>
  <c r="F10" i="9"/>
  <c r="D10" i="9"/>
  <c r="B10" i="9"/>
  <c r="E9" i="9"/>
  <c r="D9" i="9"/>
  <c r="C9" i="9"/>
  <c r="B9" i="9"/>
  <c r="F8" i="9"/>
  <c r="D8" i="9"/>
  <c r="C8" i="9"/>
  <c r="B8" i="9"/>
  <c r="D14" i="8"/>
  <c r="C14" i="8"/>
  <c r="G13" i="8"/>
  <c r="F13" i="8"/>
  <c r="E13" i="8"/>
  <c r="D13" i="8"/>
  <c r="C13" i="8"/>
  <c r="G12" i="8"/>
  <c r="F12" i="8"/>
  <c r="E12" i="8"/>
  <c r="D12" i="8"/>
  <c r="C12" i="8"/>
  <c r="G11" i="8"/>
  <c r="F11" i="8"/>
  <c r="E11" i="8"/>
  <c r="D11" i="8"/>
  <c r="C11" i="8"/>
  <c r="G10" i="8"/>
  <c r="F10" i="8"/>
  <c r="E10" i="8"/>
  <c r="D10" i="8"/>
  <c r="C10" i="8"/>
  <c r="C11" i="7"/>
  <c r="C10" i="7"/>
  <c r="C9" i="7"/>
  <c r="C8" i="7"/>
  <c r="C7" i="7"/>
  <c r="C6" i="7"/>
  <c r="Q31" i="5"/>
  <c r="P31" i="5"/>
  <c r="O31" i="5"/>
  <c r="N31" i="5"/>
  <c r="M31" i="5"/>
  <c r="L31" i="5"/>
  <c r="K31" i="5"/>
  <c r="J31" i="5"/>
  <c r="I31" i="5"/>
  <c r="H31" i="5"/>
  <c r="G31" i="5"/>
  <c r="F31" i="5"/>
  <c r="E31" i="5"/>
  <c r="D31" i="5"/>
  <c r="C31" i="5"/>
  <c r="Q30" i="5"/>
  <c r="P30" i="5"/>
  <c r="N30" i="5"/>
  <c r="M30" i="5"/>
  <c r="L30" i="5"/>
  <c r="K30" i="5"/>
  <c r="J30" i="5"/>
  <c r="I30" i="5"/>
  <c r="H30" i="5"/>
  <c r="G30" i="5"/>
  <c r="F30" i="5"/>
  <c r="E30" i="5"/>
  <c r="D30" i="5"/>
  <c r="C30" i="5"/>
  <c r="Q29" i="5"/>
  <c r="P29" i="5"/>
  <c r="N29" i="5"/>
  <c r="M29" i="5"/>
  <c r="L29" i="5"/>
  <c r="K29" i="5"/>
  <c r="J29" i="5"/>
  <c r="I29" i="5"/>
  <c r="H29" i="5"/>
  <c r="G29" i="5"/>
  <c r="F29" i="5"/>
  <c r="E29" i="5"/>
  <c r="D29" i="5"/>
  <c r="C29" i="5"/>
  <c r="Q28" i="5"/>
  <c r="P28" i="5"/>
  <c r="N28" i="5"/>
  <c r="M28" i="5"/>
  <c r="L28" i="5"/>
  <c r="K28" i="5"/>
  <c r="J28" i="5"/>
  <c r="I28" i="5"/>
  <c r="H28" i="5"/>
  <c r="G28" i="5"/>
  <c r="F28" i="5"/>
  <c r="E28" i="5"/>
  <c r="D28" i="5"/>
  <c r="C28" i="5"/>
  <c r="Q27" i="5"/>
  <c r="P27" i="5"/>
  <c r="N27" i="5"/>
  <c r="M27" i="5"/>
  <c r="L27" i="5"/>
  <c r="K27" i="5"/>
  <c r="J27" i="5"/>
  <c r="I27" i="5"/>
  <c r="H27" i="5"/>
  <c r="G27" i="5"/>
  <c r="F27" i="5"/>
  <c r="E27" i="5"/>
  <c r="D27" i="5"/>
  <c r="C27" i="5"/>
  <c r="Q26" i="5"/>
  <c r="P26" i="5"/>
  <c r="N26" i="5"/>
  <c r="M26" i="5"/>
  <c r="L26" i="5"/>
  <c r="K26" i="5"/>
  <c r="J26" i="5"/>
  <c r="I26" i="5"/>
  <c r="H26" i="5"/>
  <c r="G26" i="5"/>
  <c r="F26" i="5"/>
  <c r="E26" i="5"/>
  <c r="D26" i="5"/>
  <c r="C26" i="5"/>
  <c r="Q25" i="5"/>
  <c r="P25" i="5"/>
  <c r="N25" i="5"/>
  <c r="M25" i="5"/>
  <c r="L25" i="5"/>
  <c r="K25" i="5"/>
  <c r="J25" i="5"/>
  <c r="I25" i="5"/>
  <c r="H25" i="5"/>
  <c r="G25" i="5"/>
  <c r="F25" i="5"/>
  <c r="E25" i="5"/>
  <c r="D25" i="5"/>
  <c r="C25" i="5"/>
  <c r="Q24" i="5"/>
  <c r="P24" i="5"/>
  <c r="N24" i="5"/>
  <c r="M24" i="5"/>
  <c r="L24" i="5"/>
  <c r="K24" i="5"/>
  <c r="J24" i="5"/>
  <c r="I24" i="5"/>
  <c r="H24" i="5"/>
  <c r="G24" i="5"/>
  <c r="F24" i="5"/>
  <c r="E24" i="5"/>
  <c r="D24" i="5"/>
  <c r="C24" i="5"/>
  <c r="Q23" i="5"/>
  <c r="P23" i="5"/>
  <c r="O23" i="5"/>
  <c r="N23" i="5"/>
  <c r="M23" i="5"/>
  <c r="L23" i="5"/>
  <c r="K23" i="5"/>
  <c r="J23" i="5"/>
  <c r="I23" i="5"/>
  <c r="H23" i="5"/>
  <c r="G23" i="5"/>
  <c r="F23" i="5"/>
  <c r="E23" i="5"/>
  <c r="D23" i="5"/>
  <c r="C23" i="5"/>
  <c r="Q22" i="5"/>
  <c r="P22" i="5"/>
  <c r="O22" i="5"/>
  <c r="N22" i="5"/>
  <c r="M22" i="5"/>
  <c r="L22" i="5"/>
  <c r="K22" i="5"/>
  <c r="J22" i="5"/>
  <c r="I22" i="5"/>
  <c r="H22" i="5"/>
  <c r="G22" i="5"/>
  <c r="F22" i="5"/>
  <c r="E22" i="5"/>
  <c r="D22" i="5"/>
  <c r="C22" i="5"/>
  <c r="Q21" i="5"/>
  <c r="P21" i="5"/>
  <c r="O21" i="5"/>
  <c r="N21" i="5"/>
  <c r="M21" i="5"/>
  <c r="L21" i="5"/>
  <c r="K21" i="5"/>
  <c r="J21" i="5"/>
  <c r="I21" i="5"/>
  <c r="H21" i="5"/>
  <c r="G21" i="5"/>
  <c r="F21" i="5"/>
  <c r="E21" i="5"/>
  <c r="D21" i="5"/>
  <c r="C21" i="5"/>
  <c r="Q20" i="5"/>
  <c r="P20" i="5"/>
  <c r="O20" i="5"/>
  <c r="N20" i="5"/>
  <c r="M20" i="5"/>
  <c r="L20" i="5"/>
  <c r="K20" i="5"/>
  <c r="J20" i="5"/>
  <c r="I20" i="5"/>
  <c r="H20" i="5"/>
  <c r="G20" i="5"/>
  <c r="F20" i="5"/>
  <c r="E20" i="5"/>
  <c r="D20" i="5"/>
  <c r="C20" i="5"/>
  <c r="Q19" i="5"/>
  <c r="P19" i="5"/>
  <c r="O19" i="5"/>
  <c r="N19" i="5"/>
  <c r="M19" i="5"/>
  <c r="L19" i="5"/>
  <c r="K19" i="5"/>
  <c r="J19" i="5"/>
  <c r="I19" i="5"/>
  <c r="H19" i="5"/>
  <c r="G19" i="5"/>
  <c r="F19" i="5"/>
  <c r="E19" i="5"/>
  <c r="D19" i="5"/>
  <c r="C19" i="5"/>
  <c r="Q18" i="5"/>
  <c r="P18" i="5"/>
  <c r="O18" i="5"/>
  <c r="N18" i="5"/>
  <c r="M18" i="5"/>
  <c r="L18" i="5"/>
  <c r="K18" i="5"/>
  <c r="J18" i="5"/>
  <c r="I18" i="5"/>
  <c r="H18" i="5"/>
  <c r="G18" i="5"/>
  <c r="F18" i="5"/>
  <c r="E18" i="5"/>
  <c r="D18" i="5"/>
  <c r="C18" i="5"/>
  <c r="Q17" i="5"/>
  <c r="P17" i="5"/>
  <c r="O17" i="5"/>
  <c r="N17" i="5"/>
  <c r="M17" i="5"/>
  <c r="L17" i="5"/>
  <c r="K17" i="5"/>
  <c r="J17" i="5"/>
  <c r="I17" i="5"/>
  <c r="H17" i="5"/>
  <c r="G17" i="5"/>
  <c r="F17" i="5"/>
  <c r="E17" i="5"/>
  <c r="D17" i="5"/>
  <c r="C17" i="5"/>
  <c r="Q15" i="5"/>
  <c r="P15" i="5"/>
  <c r="O15" i="5"/>
  <c r="N15" i="5"/>
  <c r="M15" i="5"/>
  <c r="L15" i="5"/>
  <c r="K15" i="5"/>
  <c r="J15" i="5"/>
  <c r="I15" i="5"/>
  <c r="H15" i="5"/>
  <c r="G15" i="5"/>
  <c r="F15" i="5"/>
  <c r="E15" i="5"/>
  <c r="D15" i="5"/>
  <c r="C15" i="5"/>
  <c r="Q14" i="5"/>
  <c r="P14" i="5"/>
  <c r="O14" i="5"/>
  <c r="N14" i="5"/>
  <c r="M14" i="5"/>
  <c r="L14" i="5"/>
  <c r="K14" i="5"/>
  <c r="J14" i="5"/>
  <c r="I14" i="5"/>
  <c r="H14" i="5"/>
  <c r="G14" i="5"/>
  <c r="F14" i="5"/>
  <c r="E14" i="5"/>
  <c r="D14" i="5"/>
  <c r="C14" i="5"/>
  <c r="Q13" i="5"/>
  <c r="P13" i="5"/>
  <c r="O13" i="5"/>
  <c r="N13" i="5"/>
  <c r="M13" i="5"/>
  <c r="L13" i="5"/>
  <c r="K13" i="5"/>
  <c r="J13" i="5"/>
  <c r="I13" i="5"/>
  <c r="H13" i="5"/>
  <c r="G13" i="5"/>
  <c r="F13" i="5"/>
  <c r="E13" i="5"/>
  <c r="D13" i="5"/>
  <c r="C13" i="5"/>
  <c r="Q12" i="5"/>
  <c r="P12" i="5"/>
  <c r="O12" i="5"/>
  <c r="N12" i="5"/>
  <c r="M12" i="5"/>
  <c r="L12" i="5"/>
  <c r="K12" i="5"/>
  <c r="J12" i="5"/>
  <c r="I12" i="5"/>
  <c r="H12" i="5"/>
  <c r="G12" i="5"/>
  <c r="F12" i="5"/>
  <c r="E12" i="5"/>
  <c r="D12" i="5"/>
  <c r="C12" i="5"/>
  <c r="Q11" i="5"/>
  <c r="P11" i="5"/>
  <c r="O11" i="5"/>
  <c r="N11" i="5"/>
  <c r="M11" i="5"/>
  <c r="L11" i="5"/>
  <c r="K11" i="5"/>
  <c r="J11" i="5"/>
  <c r="I11" i="5"/>
  <c r="H11" i="5"/>
  <c r="G11" i="5"/>
  <c r="F11" i="5"/>
  <c r="E11" i="5"/>
  <c r="D11" i="5"/>
  <c r="C11" i="5"/>
  <c r="Q10" i="5"/>
  <c r="P10" i="5"/>
  <c r="O10" i="5"/>
  <c r="N10" i="5"/>
  <c r="M10" i="5"/>
  <c r="L10" i="5"/>
  <c r="K10" i="5"/>
  <c r="J10" i="5"/>
  <c r="I10" i="5"/>
  <c r="H10" i="5"/>
  <c r="G10" i="5"/>
  <c r="F10" i="5"/>
  <c r="E10" i="5"/>
  <c r="D10" i="5"/>
  <c r="C10" i="5"/>
  <c r="Q9" i="5"/>
  <c r="P9" i="5"/>
  <c r="O9" i="5"/>
  <c r="N9" i="5"/>
  <c r="M9" i="5"/>
  <c r="L9" i="5"/>
  <c r="K9" i="5"/>
  <c r="J9" i="5"/>
  <c r="I9" i="5"/>
  <c r="H9" i="5"/>
  <c r="G9" i="5"/>
  <c r="F9" i="5"/>
  <c r="E9" i="5"/>
  <c r="D9" i="5"/>
  <c r="C9" i="5"/>
  <c r="C7" i="4"/>
  <c r="M10" i="3"/>
  <c r="M11" i="3"/>
  <c r="M12" i="3"/>
  <c r="I10" i="3"/>
  <c r="I11" i="3"/>
  <c r="I12" i="3"/>
  <c r="J10" i="3"/>
  <c r="J11" i="3"/>
  <c r="J12" i="3"/>
  <c r="L12" i="3"/>
  <c r="C10" i="3"/>
  <c r="C11" i="3"/>
  <c r="C12" i="3"/>
  <c r="E10" i="3"/>
  <c r="E11" i="3"/>
  <c r="E12" i="3"/>
  <c r="H12" i="3"/>
  <c r="L11" i="3"/>
  <c r="H11" i="3"/>
  <c r="L10" i="3"/>
  <c r="H10" i="3"/>
  <c r="B27" i="2"/>
  <c r="C27" i="2"/>
  <c r="B28" i="2"/>
  <c r="C28" i="2"/>
  <c r="B29" i="2"/>
  <c r="C29" i="2"/>
  <c r="B30" i="2"/>
  <c r="C30" i="2"/>
  <c r="B31" i="2"/>
  <c r="C31" i="2"/>
  <c r="B32" i="2"/>
  <c r="C32" i="2"/>
  <c r="B33" i="2"/>
  <c r="C33" i="2"/>
  <c r="B34" i="2"/>
  <c r="C34" i="2"/>
  <c r="B35" i="2"/>
  <c r="C35" i="2"/>
  <c r="C36" i="2"/>
  <c r="B38" i="2"/>
  <c r="C38" i="2"/>
  <c r="B43" i="2"/>
  <c r="C43" i="2"/>
  <c r="B42" i="2"/>
  <c r="C42" i="2"/>
  <c r="C44" i="2"/>
  <c r="C45" i="2"/>
  <c r="B36" i="2"/>
  <c r="B44" i="2"/>
  <c r="B45" i="2"/>
  <c r="E44" i="2"/>
  <c r="B41" i="2"/>
  <c r="C41" i="2"/>
  <c r="B40" i="2"/>
  <c r="C40" i="2"/>
  <c r="B39" i="2"/>
  <c r="C39" i="2"/>
  <c r="B10" i="2"/>
  <c r="C10" i="2"/>
  <c r="B11" i="2"/>
  <c r="C11" i="2"/>
  <c r="B12" i="2"/>
  <c r="C12" i="2"/>
  <c r="B13" i="2"/>
  <c r="C13" i="2"/>
  <c r="B14" i="2"/>
  <c r="C14" i="2"/>
  <c r="B15" i="2"/>
  <c r="C15" i="2"/>
  <c r="B16" i="2"/>
  <c r="C16" i="2"/>
  <c r="B17" i="2"/>
  <c r="C17" i="2"/>
  <c r="B18" i="2"/>
  <c r="C18" i="2"/>
  <c r="B19" i="2"/>
  <c r="C19" i="2"/>
  <c r="B20" i="2"/>
  <c r="C20" i="2"/>
  <c r="B21" i="2"/>
  <c r="C21" i="2"/>
  <c r="B22" i="2"/>
  <c r="C22" i="2"/>
  <c r="B23" i="2"/>
  <c r="C23" i="2"/>
  <c r="B24" i="2"/>
  <c r="C24" i="2"/>
  <c r="C25" i="2"/>
  <c r="B25" i="2"/>
  <c r="C108" i="1"/>
  <c r="C107" i="1"/>
  <c r="C101" i="1"/>
  <c r="C90" i="1"/>
  <c r="C91" i="1"/>
  <c r="C95" i="1"/>
  <c r="C47" i="1"/>
  <c r="C7" i="1"/>
  <c r="C11" i="1"/>
  <c r="C12" i="1"/>
  <c r="C14" i="1"/>
  <c r="C15" i="1"/>
  <c r="C16" i="1"/>
  <c r="C17" i="1"/>
  <c r="C48" i="1"/>
  <c r="C93" i="1"/>
  <c r="C89" i="1"/>
  <c r="C71" i="1"/>
  <c r="C75" i="1"/>
  <c r="C78" i="1"/>
  <c r="C76" i="1"/>
  <c r="C50" i="1"/>
  <c r="C56" i="1"/>
  <c r="C58" i="1"/>
  <c r="C68" i="1"/>
  <c r="C69" i="1"/>
  <c r="C57" i="1"/>
  <c r="C51" i="1"/>
  <c r="C46" i="1"/>
  <c r="C30" i="1"/>
  <c r="C28" i="1"/>
  <c r="C22" i="1"/>
  <c r="C20" i="1"/>
  <c r="C19" i="1"/>
</calcChain>
</file>

<file path=xl/sharedStrings.xml><?xml version="1.0" encoding="utf-8"?>
<sst xmlns="http://schemas.openxmlformats.org/spreadsheetml/2006/main" count="1075" uniqueCount="691">
  <si>
    <t xml:space="preserve"> (a)</t>
  </si>
  <si>
    <t xml:space="preserve">  (b)</t>
  </si>
  <si>
    <t> </t>
  </si>
  <si>
    <t>EU-3a</t>
  </si>
  <si>
    <t>EU-5a</t>
  </si>
  <si>
    <t>EU-20a</t>
  </si>
  <si>
    <t>EU-20b</t>
  </si>
  <si>
    <t>EU-20c</t>
  </si>
  <si>
    <t>EU-20d</t>
  </si>
  <si>
    <t>EU-25a</t>
  </si>
  <si>
    <t>EU-25b</t>
  </si>
  <si>
    <t>27a</t>
  </si>
  <si>
    <t>EU-33a</t>
  </si>
  <si>
    <t>EU-33b</t>
  </si>
  <si>
    <t xml:space="preserve">42a </t>
  </si>
  <si>
    <t>EU-47a</t>
  </si>
  <si>
    <t>EU-47b</t>
  </si>
  <si>
    <t>54a</t>
  </si>
  <si>
    <r>
      <t>EU-56a</t>
    </r>
    <r>
      <rPr>
        <sz val="8"/>
        <rFont val="Calibri"/>
        <family val="2"/>
        <scheme val="minor"/>
      </rPr>
      <t> </t>
    </r>
  </si>
  <si>
    <t>EU-56b</t>
  </si>
  <si>
    <t>EU-67a</t>
  </si>
  <si>
    <t>EU-67b</t>
  </si>
  <si>
    <t>a</t>
  </si>
  <si>
    <t>b</t>
  </si>
  <si>
    <t>c</t>
  </si>
  <si>
    <t>Reference</t>
  </si>
  <si>
    <t>E</t>
  </si>
  <si>
    <t>F</t>
  </si>
  <si>
    <t>Aktionærerenes kapital</t>
  </si>
  <si>
    <t>A</t>
  </si>
  <si>
    <t>C</t>
  </si>
  <si>
    <t>B</t>
  </si>
  <si>
    <t>G</t>
  </si>
  <si>
    <t>D</t>
  </si>
  <si>
    <t>d</t>
  </si>
  <si>
    <t>e</t>
  </si>
  <si>
    <t>f</t>
  </si>
  <si>
    <t>g</t>
  </si>
  <si>
    <t>h</t>
  </si>
  <si>
    <t>i</t>
  </si>
  <si>
    <t>j</t>
  </si>
  <si>
    <t>k</t>
  </si>
  <si>
    <t>l</t>
  </si>
  <si>
    <t>m</t>
  </si>
  <si>
    <t>010</t>
  </si>
  <si>
    <t>020</t>
  </si>
  <si>
    <t>Total</t>
  </si>
  <si>
    <t>n</t>
  </si>
  <si>
    <t>o</t>
  </si>
  <si>
    <t>005</t>
  </si>
  <si>
    <t>030</t>
  </si>
  <si>
    <t>040</t>
  </si>
  <si>
    <t>050</t>
  </si>
  <si>
    <t>060</t>
  </si>
  <si>
    <t>070</t>
  </si>
  <si>
    <t>080</t>
  </si>
  <si>
    <t>090</t>
  </si>
  <si>
    <t>100</t>
  </si>
  <si>
    <t>110</t>
  </si>
  <si>
    <t>120</t>
  </si>
  <si>
    <t>130</t>
  </si>
  <si>
    <t>140</t>
  </si>
  <si>
    <t>150</t>
  </si>
  <si>
    <t>160</t>
  </si>
  <si>
    <t>170</t>
  </si>
  <si>
    <t>180</t>
  </si>
  <si>
    <t>190</t>
  </si>
  <si>
    <t>200</t>
  </si>
  <si>
    <t>210</t>
  </si>
  <si>
    <t>220</t>
  </si>
  <si>
    <t>0,0</t>
  </si>
  <si>
    <t>EU-5</t>
  </si>
  <si>
    <t>p</t>
  </si>
  <si>
    <t>q</t>
  </si>
  <si>
    <t>1.4</t>
  </si>
  <si>
    <t>2a</t>
  </si>
  <si>
    <t>2b</t>
  </si>
  <si>
    <t>2c</t>
  </si>
  <si>
    <t>EU-4</t>
  </si>
  <si>
    <t>Collateral type</t>
  </si>
  <si>
    <t xml:space="preserve"> </t>
  </si>
  <si>
    <t xml:space="preserve">  </t>
  </si>
  <si>
    <t xml:space="preserve"> -   </t>
  </si>
  <si>
    <t>EU-11a</t>
  </si>
  <si>
    <t>EU-11b</t>
  </si>
  <si>
    <t>Q2 2022</t>
  </si>
  <si>
    <t>EU-8a</t>
  </si>
  <si>
    <t>EU-9a</t>
  </si>
  <si>
    <t>EU-9b</t>
  </si>
  <si>
    <t>EU-10a</t>
  </si>
  <si>
    <t>EU-10b</t>
  </si>
  <si>
    <t>EU-16a</t>
  </si>
  <si>
    <t>EU-17a</t>
  </si>
  <si>
    <t>EU-22a</t>
  </si>
  <si>
    <t>EU-22b</t>
  </si>
  <si>
    <t>EU-22c</t>
  </si>
  <si>
    <t>EU-22d</t>
  </si>
  <si>
    <t>EU-22e</t>
  </si>
  <si>
    <t>EU-22f</t>
  </si>
  <si>
    <t>EU-22g</t>
  </si>
  <si>
    <t>EU-22h</t>
  </si>
  <si>
    <t>EU-22i</t>
  </si>
  <si>
    <t>EU-22j</t>
  </si>
  <si>
    <t>EU-22k</t>
  </si>
  <si>
    <t>EU-25</t>
  </si>
  <si>
    <t>25a</t>
  </si>
  <si>
    <t>EU-26a</t>
  </si>
  <si>
    <t>EU-26b</t>
  </si>
  <si>
    <t>EU-27a</t>
  </si>
  <si>
    <r>
      <t>EU-27</t>
    </r>
    <r>
      <rPr>
        <sz val="11"/>
        <color theme="1"/>
        <rFont val="Calibri"/>
        <family val="2"/>
        <scheme val="minor"/>
      </rPr>
      <t>b</t>
    </r>
  </si>
  <si>
    <t>30a</t>
  </si>
  <si>
    <t>31a</t>
  </si>
  <si>
    <t xml:space="preserve">Steepener </t>
  </si>
  <si>
    <t>Flattener</t>
  </si>
  <si>
    <t>EU-15a</t>
  </si>
  <si>
    <t>Bank</t>
  </si>
  <si>
    <t>Model</t>
  </si>
  <si>
    <r>
      <t>Indledning</t>
    </r>
    <r>
      <rPr>
        <sz val="11"/>
        <rFont val="Calibri"/>
        <family val="2"/>
      </rPr>
      <t> </t>
    </r>
  </si>
  <si>
    <t>EU CC1</t>
  </si>
  <si>
    <t>EU CC2</t>
  </si>
  <si>
    <t>EU CCyB1</t>
  </si>
  <si>
    <t>EU CCyB2</t>
  </si>
  <si>
    <t>EU CR1</t>
  </si>
  <si>
    <t>EU CR1-A</t>
  </si>
  <si>
    <t>EU CR2</t>
  </si>
  <si>
    <t>EU CR3</t>
  </si>
  <si>
    <t>EU CR4</t>
  </si>
  <si>
    <t>EU CR5</t>
  </si>
  <si>
    <t>EU CCR1</t>
  </si>
  <si>
    <t>EU CCR2</t>
  </si>
  <si>
    <t>EU CCR3</t>
  </si>
  <si>
    <t>EU CCR5</t>
  </si>
  <si>
    <t>EU CCR8</t>
  </si>
  <si>
    <t>EU MR1</t>
  </si>
  <si>
    <t>EU IRRBB1</t>
  </si>
  <si>
    <t>EU LIQ2</t>
  </si>
  <si>
    <t>Net stable funding ratio</t>
  </si>
  <si>
    <t>EU LR1 - LRSum</t>
  </si>
  <si>
    <t>EU LR2 - LRCom</t>
  </si>
  <si>
    <t xml:space="preserve">Both the Arbejdernes Landsbank Group and A/S Arbejdernes Landsbank are obligated to disclose their solvency need every quarter. The Arbejdernes Landsbank Group has also decided to disclose selected risk information (Pillar 3 information) every quarter. </t>
  </si>
  <si>
    <t xml:space="preserve">Disclosure of the solvency need for the Group and for A/S Arbejdernes Landsbank is in accordance with section 4 of the Executive Order on Calculation of Risk Exposures, Own Funds and Solvency Need.  </t>
  </si>
  <si>
    <t xml:space="preserve">Disclosure of selected key risk figures for the Group is in accordance with Article 433a of the European Commission’s Regulation on prudential requirements for credit institutions and investment firms (Pillar 3 information).  </t>
  </si>
  <si>
    <t xml:space="preserve">The Arbejdernes Landsbank Group includes the following companies:  </t>
  </si>
  <si>
    <t>- A/S Arbejdernes Landsbank (parent company) </t>
  </si>
  <si>
    <t xml:space="preserve">- Vestjysk Bank A/S (subsidiary)  </t>
  </si>
  <si>
    <t>- AL Finans A/S (subsidiary)   </t>
  </si>
  <si>
    <t xml:space="preserve">- Ejendomsselskabet Sluseholmen A/S (subsidiary) </t>
  </si>
  <si>
    <t>Template EU CC1 - Composition of regulatory own funds</t>
  </si>
  <si>
    <t xml:space="preserve">DKK mio. </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</si>
  <si>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</si>
  <si>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</si>
  <si>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</si>
  <si>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</si>
  <si>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A) Equity</t>
  </si>
  <si>
    <t xml:space="preserve">     of which: Instrument type 1</t>
  </si>
  <si>
    <t xml:space="preserve">     of which: Instrument type 2</t>
  </si>
  <si>
    <t xml:space="preserve">     of which: Instrument type 3</t>
  </si>
  <si>
    <t xml:space="preserve">Retained earnings </t>
  </si>
  <si>
    <t>B) Retained earnings or deficits</t>
  </si>
  <si>
    <t>Accumulated other comprehensive income (and other reserves)</t>
  </si>
  <si>
    <t>C) Accumulated changes in value and statutory reserves</t>
  </si>
  <si>
    <t>Funds for general banking risk</t>
  </si>
  <si>
    <t xml:space="preserve">Amount of qualifying items referred to in Article 484 (3) CRR and the related share premium accounts subject to phase out from CET1 </t>
  </si>
  <si>
    <t>Minority interests (amount allowed in consolidated CET1)</t>
  </si>
  <si>
    <t>D) Minority interest</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</si>
  <si>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</si>
  <si>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</si>
  <si>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</si>
  <si>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</si>
  <si>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</si>
  <si>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(a)minus (d)</t>
  </si>
  <si>
    <t>Empty set in the EU</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</si>
  <si>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</si>
  <si>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</si>
  <si>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</si>
  <si>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</si>
  <si>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</si>
  <si>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</si>
  <si>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</si>
  <si>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</si>
  <si>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</si>
  <si>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</si>
  <si>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</si>
  <si>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</si>
  <si>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</si>
  <si>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</si>
  <si>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</si>
  <si>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</si>
  <si>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</si>
  <si>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</si>
  <si>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Losses for the current financial year (negative amount)</t>
  </si>
  <si>
    <t>Foreseeable tax charges relating to CET1 items except where the institution suitably adjusts the amount of CET1 items insofar as such tax charges reduce the amount up to which those items may be used to cover risks or losses (negative amount)</t>
  </si>
  <si>
    <r>
      <t>Qualifying AT1 deductions that exceed the AT1</t>
    </r>
    <r>
      <rPr>
        <sz val="9"/>
        <rFont val="Calibri"/>
        <family val="2"/>
        <scheme val="minor"/>
      </rPr>
      <t xml:space="preserve"> items of the institution (negative amount)</t>
    </r>
  </si>
  <si>
    <r>
      <t xml:space="preserve">Other regulatory adjustments to CET1 capital </t>
    </r>
    <r>
      <rPr>
        <i/>
        <sz val="9"/>
        <rFont val="Calibri"/>
        <family val="2"/>
        <scheme val="minor"/>
      </rPr>
      <t>(including IFRS 9 transitional adjustments when relevant)</t>
    </r>
  </si>
  <si>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</si>
  <si>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</si>
  <si>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</si>
  <si>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</si>
  <si>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</si>
  <si>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</si>
  <si>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</si>
  <si>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Amount of qualifying items referred to in Article 494a(1) CRR subject to phase out from AT1</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</si>
  <si>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</si>
  <si>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</si>
  <si>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</si>
  <si>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</si>
  <si>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</si>
  <si>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</si>
  <si>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</si>
  <si>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</si>
  <si>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</si>
  <si>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r>
      <t>Qualifying T2 deductions that exceed the T2</t>
    </r>
    <r>
      <rPr>
        <sz val="9"/>
        <rFont val="Calibri"/>
        <family val="2"/>
        <scheme val="minor"/>
      </rPr>
      <t xml:space="preserve"> items of the institution (negative amount)</t>
    </r>
  </si>
  <si>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</si>
  <si>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</si>
  <si>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</si>
  <si>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</si>
  <si>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</si>
  <si>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</si>
  <si>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</si>
  <si>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Amount of qualifying  items referred to in Article 494a (2) CRR subject to phase out from T2</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</si>
  <si>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</si>
  <si>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</si>
  <si>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</si>
  <si>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</si>
  <si>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</si>
  <si>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</si>
  <si>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</si>
  <si>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</si>
  <si>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</si>
  <si>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</si>
  <si>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</si>
  <si>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</si>
  <si>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regulatory adjustments to Tier 2 (T2) capital</t>
  </si>
  <si>
    <t xml:space="preserve">Tier 2 (T2) capital </t>
  </si>
  <si>
    <t>Total capital (TC = T1 + T2)</t>
  </si>
  <si>
    <t>Total Risk exposure amount</t>
  </si>
  <si>
    <t>Capital ratios and buffers </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</si>
  <si>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</si>
  <si>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</si>
  <si>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</si>
  <si>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</si>
  <si>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</si>
  <si>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</si>
  <si>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</si>
  <si>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of which: Global Systemically Important Institution (G-SII) or Other Systemically Important Institution (O-SII) buffer</t>
  </si>
  <si>
    <t>of which: additional own funds requirements to address the risks other than the risk of excessive leverage</t>
  </si>
  <si>
    <t xml:space="preserve">Common Equity Tier 1 available to meet buffers (as a percentage of risk exposure amount) 
</t>
  </si>
  <si>
    <t>[non relevant in EU regulation]</t>
  </si>
  <si>
    <t>Amounts below the thresholds for deduction (before risk weighting) </t>
  </si>
  <si>
    <r>
      <t>Direct and indirect holdings of</t>
    </r>
    <r>
      <rPr>
        <sz val="9"/>
        <rFont val="Calibri"/>
        <family val="2"/>
        <scheme val="minor"/>
      </rPr>
      <t xml:space="preserve"> own funds and  eligible liabilities of financial sector entities where the institution does not have a significant investment in those entities (amount below 10% threshold and net of eligible short positions)   </t>
    </r>
  </si>
  <si>
    <t xml:space="preserve">Direct and indirect holdings by the institution of the CET1 instruments of financial sector entities where the institution has a significant investment in those entities (amount below 17.65% thresholds and net of eligible short positions) </t>
  </si>
  <si>
    <r>
      <t xml:space="preserve">Deferred tax assets arising from temporary differences (amount below </t>
    </r>
    <r>
      <rPr>
        <sz val="9"/>
        <rFont val="Calibri"/>
        <family val="2"/>
        <scheme val="minor"/>
      </rPr>
      <t>17,65% threshold, net of related tax liability where the conditions in Article 38 (3) CRR are met)</t>
    </r>
  </si>
  <si>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</si>
  <si>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</si>
  <si>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</si>
  <si>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</si>
  <si>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</si>
  <si>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</si>
  <si>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</si>
  <si>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</si>
  <si>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</si>
  <si>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</si>
  <si>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</si>
  <si>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</si>
  <si>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Composition of regulatory own funds</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</si>
  <si>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</si>
  <si>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Balance sheet as in published financial statements</t>
  </si>
  <si>
    <t>Under regulatory scope of consolidation</t>
  </si>
  <si>
    <t>As at period end</t>
  </si>
  <si>
    <t>Assets – Breakdown by asset clases according to the balance sheet in the published financial statements</t>
  </si>
  <si>
    <t>Cash in hand and demand deposits with central banks</t>
  </si>
  <si>
    <t>Receivables from credit institutions and central banks</t>
  </si>
  <si>
    <t>Loans and other receivables at amortised cost</t>
  </si>
  <si>
    <t>Bonds at fair value</t>
  </si>
  <si>
    <t>Shares etc.</t>
  </si>
  <si>
    <t>Equity investments in associated companies</t>
  </si>
  <si>
    <t>Assets linked to pooled schemes</t>
  </si>
  <si>
    <t>Intangible assets</t>
  </si>
  <si>
    <t>Land and buildings</t>
  </si>
  <si>
    <t>Other property, plant and equipment</t>
  </si>
  <si>
    <t>Current tax assets</t>
  </si>
  <si>
    <t>Deferred tax assets</t>
  </si>
  <si>
    <t>Assets held temporarily</t>
  </si>
  <si>
    <t>Other assets</t>
  </si>
  <si>
    <t>Prepayments and accrued income</t>
  </si>
  <si>
    <t>Total assets</t>
  </si>
  <si>
    <t>Liabilities - Breakdown by liability clases according to the balance sheet in the published financial statements</t>
  </si>
  <si>
    <t>Debt to credit institutions and central banks</t>
  </si>
  <si>
    <t>Deposits and other debt</t>
  </si>
  <si>
    <t>Deposits in pooled schemes</t>
  </si>
  <si>
    <t>Issued bonds at amortised cost</t>
  </si>
  <si>
    <t>Current tax liabilities</t>
  </si>
  <si>
    <t>Other equity and liabilities</t>
  </si>
  <si>
    <t>Accruals and deferred income</t>
  </si>
  <si>
    <t>Provisions</t>
  </si>
  <si>
    <t>Subordinated debt</t>
  </si>
  <si>
    <t>Total liabilities</t>
  </si>
  <si>
    <t>Shareholders' Equity</t>
  </si>
  <si>
    <t xml:space="preserve">   Of which Share capital</t>
  </si>
  <si>
    <t xml:space="preserve">   Of which Accumulated changes in value and statutory reserves</t>
  </si>
  <si>
    <t xml:space="preserve">   Of which Retained earnings</t>
  </si>
  <si>
    <t>Other reserves</t>
  </si>
  <si>
    <t>Minority interests</t>
  </si>
  <si>
    <t>Total equity</t>
  </si>
  <si>
    <t>Total shareholders' equity and liabilities</t>
  </si>
  <si>
    <t>Template EU CC2 - Reconciliation of regulatory own funds to balance sheet in the financial statements</t>
  </si>
  <si>
    <t>Reconciliation of regulatory own funds to balance sheet in the financial statements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</si>
  <si>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</si>
  <si>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</si>
  <si>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</si>
  <si>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</si>
  <si>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</si>
  <si>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</si>
  <si>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</si>
  <si>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</si>
  <si>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</si>
  <si>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</si>
  <si>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</si>
  <si>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</si>
  <si>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</si>
  <si>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</si>
  <si>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</si>
  <si>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</si>
  <si>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</si>
  <si>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Denmark</t>
  </si>
  <si>
    <t>Germany</t>
  </si>
  <si>
    <t>Geographical distribution of credit exposures relevant for the calculation of the countercyclical buffer</t>
  </si>
  <si>
    <t>Template EU CCyB2 - Amount of institution-specific countercyclical capital buffer</t>
  </si>
  <si>
    <t>Total risk exposure amount</t>
  </si>
  <si>
    <t>Institution specific countercyclical capital buffer rate</t>
  </si>
  <si>
    <t>Institution specific countercyclical capital buffer requirement</t>
  </si>
  <si>
    <t>Amount of institution-specific countercyclical capital buffer</t>
  </si>
  <si>
    <t>Disclosure of sufficient own funds and solvency need as at Q2 2022 for Arbejdernes Landsbank, cf. section 4 of the Executive Order on Calculation of Risk Exposures, Own Funds and Solvency Need.</t>
  </si>
  <si>
    <t>Group</t>
  </si>
  <si>
    <t xml:space="preserve">DKK mill. </t>
  </si>
  <si>
    <t>%</t>
  </si>
  <si>
    <t xml:space="preserve">Capital to cover credit risk </t>
  </si>
  <si>
    <t>Capital to cover market risk</t>
  </si>
  <si>
    <t>Capital to cover operational risk</t>
  </si>
  <si>
    <t>Capital to cover other risks</t>
  </si>
  <si>
    <t>Sufficient own funds/solvency need, cf. section 124(4) of the Danish Financial Business Act</t>
  </si>
  <si>
    <t>Supplement to sufficient own funds, cf. statutory requirements</t>
  </si>
  <si>
    <t>Sufficient own funds/solvency need, cf. section 124(1) and (2), no. 1, of the Danish Financial Business Act</t>
  </si>
  <si>
    <t>Common Equity Tier 1 capital/Common Equity Tier 1 capital ratio</t>
  </si>
  <si>
    <t>Tier 1 capital/Tier 1 capital ratio</t>
  </si>
  <si>
    <t>Own funds/Capital ratio</t>
  </si>
  <si>
    <t xml:space="preserve">Arbejdernes Landsbank applies the 8+ method to set the individual solvency need for both the Group and the Bank. </t>
  </si>
  <si>
    <t xml:space="preserve">The method is based on the minimum capital requirement of 8% of total risk exposure (Pillar I requirement). It is assumed that normal risks are covered by the 8% capital requirement. In addition, Tier 2 capital needs are calculated for risk areas that are deemed not to be covered by the 8% requirement. The total capital need is obtained by adding together the capital need according to the 8% requirement  and the Tier 2 capital needs. </t>
  </si>
  <si>
    <r>
      <t>The model is based on the guidelines on sufficient own funds and solvency need for credit institutions (</t>
    </r>
    <r>
      <rPr>
        <i/>
        <sz val="11"/>
        <color rgb="FF000000"/>
        <rFont val="Calibri"/>
        <family val="2"/>
      </rPr>
      <t>Vejledning om tilstrækkelig kapitalgrundlag og solvensbehov for kreditinstitutter</t>
    </r>
    <r>
      <rPr>
        <sz val="11"/>
        <color rgb="FF000000"/>
        <rFont val="Calibri"/>
        <family val="2"/>
      </rPr>
      <t xml:space="preserve">) issued by the Danish FSA. </t>
    </r>
  </si>
  <si>
    <t xml:space="preserve">The solvency need is calculated as the total capital need as a percentage of the total risk exposure calculated according to the provisions of the CRR. </t>
  </si>
  <si>
    <t>Capital to cover credit risk</t>
  </si>
  <si>
    <t>The capital requirement to cover credit risk is calculated as 8% of the risk exposures relating to credit risk plus Tier 2 capital to cover, among others, the following risks:</t>
  </si>
  <si>
    <t>1. Concentration risk on the 20 largest exposures</t>
  </si>
  <si>
    <t>2. Large exposures with financial problems</t>
  </si>
  <si>
    <t>3. Sector concentration risk</t>
  </si>
  <si>
    <t>4. Receivables from credit institutions</t>
  </si>
  <si>
    <t>5. Shares etc. outside the trading portfolio</t>
  </si>
  <si>
    <t>6. Other credit risks</t>
  </si>
  <si>
    <t xml:space="preserve">Capital to cover market risk </t>
  </si>
  <si>
    <t>The capital requirement to cover market risk is calculated as 8% of the risk exposures relating to market risk plus Tier 2 capital to cover the following risks:</t>
  </si>
  <si>
    <t>1. Market risk</t>
  </si>
  <si>
    <t>2. Liquidity risks</t>
  </si>
  <si>
    <t>3. Interest-rate risk outside the trading portfolio</t>
  </si>
  <si>
    <t xml:space="preserve">Capital to cover operational risk </t>
  </si>
  <si>
    <t xml:space="preserve">Capital to cover operational risk is calculated according to the Basic Indicator Approach set out in Article 315 of the CRR. The Group makes its own calculations of operational risk based on a model in which the different units in the Bank construct a number of risk scenarios. Furthermore, the risk related to information and communications technology is assessed separately. </t>
  </si>
  <si>
    <t xml:space="preserve">Capital to cover other risks </t>
  </si>
  <si>
    <t>Capital to cover other risks includes assessments of capital requirements for the level of earnings, lending growth, leverage, risk of falling prices on owner-occupied and investment properties, as well as other aspects, including statutory requirements.</t>
  </si>
  <si>
    <t>Disclosure of sufficient own funds and solvency need as at Q2 2022</t>
  </si>
  <si>
    <t>Solvency Need</t>
  </si>
  <si>
    <t>Capital</t>
  </si>
  <si>
    <t>Content</t>
  </si>
  <si>
    <t>Credit Risk</t>
  </si>
  <si>
    <t xml:space="preserve">Template EU CR1: Performing and non-performing exposures and related provisions. </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</si>
  <si>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</si>
  <si>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</si>
  <si>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</si>
  <si>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</si>
  <si>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</si>
  <si>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</si>
  <si>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</si>
  <si>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</si>
  <si>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</si>
  <si>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</si>
  <si>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</si>
  <si>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</si>
  <si>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</si>
  <si>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</si>
  <si>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t>Loans and advances</t>
  </si>
  <si>
    <t>Central banks</t>
  </si>
  <si>
    <t>General governments</t>
  </si>
  <si>
    <t>Credit institutions</t>
  </si>
  <si>
    <t>Other financial corporations</t>
  </si>
  <si>
    <t>Non-financial corporations</t>
  </si>
  <si>
    <t xml:space="preserve">          Of which SMEs</t>
  </si>
  <si>
    <t>Households</t>
  </si>
  <si>
    <t>Debt securities</t>
  </si>
  <si>
    <t>Off-balance-sheet exposures</t>
  </si>
  <si>
    <t>Performing and non-performing exposures and related provisions</t>
  </si>
  <si>
    <t>Template EU CR1-A: Maturity of exposures</t>
  </si>
  <si>
    <t>Net exposure value</t>
  </si>
  <si>
    <t>On demand</t>
  </si>
  <si>
    <t>&lt;= 1 year</t>
  </si>
  <si>
    <t>&gt; 1 year &lt;= 5 years</t>
  </si>
  <si>
    <t>&gt; 5 years</t>
  </si>
  <si>
    <t>No stated maturity</t>
  </si>
  <si>
    <t>Maturity of exposures</t>
  </si>
  <si>
    <t>Template EU CR2: Changes in the stock of non-performing loans and advances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</si>
  <si>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</si>
  <si>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</si>
  <si>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</si>
  <si>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</si>
  <si>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</si>
  <si>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</si>
  <si>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</si>
  <si>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Changes in the stock of non-performing loans and advances</t>
  </si>
  <si>
    <t>Template EU CR3 –  CRM techniques overview:  Disclosure of the use of credit risk mitigation techniques</t>
  </si>
  <si>
    <t xml:space="preserve">Unsecured carrying amount </t>
  </si>
  <si>
    <t>Secured carrying amount</t>
  </si>
  <si>
    <t xml:space="preserve">Debt securities </t>
  </si>
  <si>
    <t xml:space="preserve">     Of which non-performing exposures</t>
  </si>
  <si>
    <t xml:space="preserve">            Of which defaulted </t>
  </si>
  <si>
    <r>
      <rPr>
        <sz val="11"/>
        <color rgb="FF000000"/>
        <rFont val="Calibri Light"/>
        <family val="2"/>
      </rPr>
      <t>Of which</t>
    </r>
    <r>
      <rPr>
        <b/>
        <sz val="11"/>
        <color rgb="FF000000"/>
        <rFont val="Calibri Light"/>
        <family val="2"/>
      </rPr>
      <t xml:space="preserve"> secured by collateral </t>
    </r>
  </si>
  <si>
    <r>
      <rPr>
        <sz val="11"/>
        <color rgb="FF000000"/>
        <rFont val="Calibri Light"/>
        <family val="2"/>
      </rPr>
      <t xml:space="preserve">Of which </t>
    </r>
    <r>
      <rPr>
        <b/>
        <sz val="11"/>
        <color rgb="FF000000"/>
        <rFont val="Calibri Light"/>
        <family val="2"/>
      </rPr>
      <t>secured by financial guarantees</t>
    </r>
  </si>
  <si>
    <r>
      <rPr>
        <sz val="11"/>
        <color rgb="FF000000"/>
        <rFont val="Calibri Light"/>
        <family val="2"/>
      </rPr>
      <t xml:space="preserve">Of which </t>
    </r>
    <r>
      <rPr>
        <b/>
        <sz val="11"/>
        <color rgb="FF000000"/>
        <rFont val="Calibri Light"/>
        <family val="2"/>
      </rPr>
      <t>secured by credit derivatives</t>
    </r>
  </si>
  <si>
    <t>CRM techniques overview:  Disclosure of the use of credit risk mitigation techniques</t>
  </si>
  <si>
    <t xml:space="preserve"> Exposure classes</t>
  </si>
  <si>
    <t>Exposures before CCF and before CRM</t>
  </si>
  <si>
    <t>Exposures post CCF and post CRM</t>
  </si>
  <si>
    <t>RWAs and RWAs density</t>
  </si>
  <si>
    <t>On-balance-sheet exposures</t>
  </si>
  <si>
    <t>RWAs</t>
  </si>
  <si>
    <t xml:space="preserve">RWAs density (%) </t>
  </si>
  <si>
    <t>Central governments or central banks</t>
  </si>
  <si>
    <t>Regional government or local authorities</t>
  </si>
  <si>
    <t>Public sector entities</t>
  </si>
  <si>
    <t>Multilateral development banks</t>
  </si>
  <si>
    <t>International organisations</t>
  </si>
  <si>
    <t>Institutions</t>
  </si>
  <si>
    <t>Corporates</t>
  </si>
  <si>
    <t>Retail</t>
  </si>
  <si>
    <t>Secured by mortgages on immovable property</t>
  </si>
  <si>
    <t>Exposures in default</t>
  </si>
  <si>
    <t>Exposures associated with particularly high risk</t>
  </si>
  <si>
    <t>Covered bonds</t>
  </si>
  <si>
    <t>Institutions and corporates with a short-term credit assessment</t>
  </si>
  <si>
    <t>Collective investment undertakings</t>
  </si>
  <si>
    <t>Equity</t>
  </si>
  <si>
    <t>Other items</t>
  </si>
  <si>
    <t>TOTAL</t>
  </si>
  <si>
    <t>Template EU CR4 – Standardised approach – Credit risk exposure and CRM effects</t>
  </si>
  <si>
    <t>Standardised approach – Credit risk exposure and CRM effects</t>
  </si>
  <si>
    <t>Risk weight</t>
  </si>
  <si>
    <t>Of which unrated</t>
  </si>
  <si>
    <t>Others</t>
  </si>
  <si>
    <t>Retail exposures</t>
  </si>
  <si>
    <t>Exposures secured by mortgages on immovable property</t>
  </si>
  <si>
    <t>Exposures to institutions and corporates with a short-term credit assessment</t>
  </si>
  <si>
    <t>Units or shares in collective investment undertakings</t>
  </si>
  <si>
    <t>Equity exposures</t>
  </si>
  <si>
    <t>Template EU CR5 – Standardised approach</t>
  </si>
  <si>
    <t>Standardised approach</t>
  </si>
  <si>
    <t>Template EU CCR1 – Analysis of CCR exposure by approach</t>
  </si>
  <si>
    <t>Fixed format</t>
  </si>
  <si>
    <t>Replacement cost (RC)</t>
  </si>
  <si>
    <t>Potential future exposure  (PFE)</t>
  </si>
  <si>
    <t>EEPE</t>
  </si>
  <si>
    <t>Exposure value pre-CRM</t>
  </si>
  <si>
    <t>Exposure value post-CRM</t>
  </si>
  <si>
    <t>Exposure value</t>
  </si>
  <si>
    <t>RWEA</t>
  </si>
  <si>
    <t>EU - Original Exposure Method (for derivatives)</t>
  </si>
  <si>
    <t>EU - Simplified SA-CCR (for derivatives)</t>
  </si>
  <si>
    <t>SA-CCR (for derivatives)</t>
  </si>
  <si>
    <t>IMM (for derivatives and SFTs)</t>
  </si>
  <si>
    <t>Of which securities financing transactions netting sets</t>
  </si>
  <si>
    <t>Of which derivatives and long settlement transactions netting sets</t>
  </si>
  <si>
    <t>Of which from contractual cross-product netting sets</t>
  </si>
  <si>
    <t>Financial collateral simple method (for SFTs)</t>
  </si>
  <si>
    <t>Financial collateral comprehensive method (for SFTs)</t>
  </si>
  <si>
    <t>VaR for SFTs</t>
  </si>
  <si>
    <t>Alpha used for computing regulatory exposure value</t>
  </si>
  <si>
    <r>
      <t>EU</t>
    </r>
    <r>
      <rPr>
        <sz val="10"/>
        <color rgb="FFFF0000"/>
        <rFont val="Calibri Light"/>
        <family val="2"/>
      </rPr>
      <t>-</t>
    </r>
    <r>
      <rPr>
        <sz val="10"/>
        <rFont val="Calibri Light"/>
        <family val="2"/>
      </rPr>
      <t>1</t>
    </r>
  </si>
  <si>
    <r>
      <t>EU</t>
    </r>
    <r>
      <rPr>
        <sz val="10"/>
        <color rgb="FFFF0000"/>
        <rFont val="Calibri Light"/>
        <family val="2"/>
      </rPr>
      <t>-</t>
    </r>
    <r>
      <rPr>
        <sz val="10"/>
        <rFont val="Calibri Light"/>
        <family val="2"/>
      </rPr>
      <t>2</t>
    </r>
  </si>
  <si>
    <t>Analysis of CCR exposure by approach</t>
  </si>
  <si>
    <t>Template EU CCR2 – Transactions subject to own funds requirements for CVA risk</t>
  </si>
  <si>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</si>
  <si>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</si>
  <si>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</si>
  <si>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</si>
  <si>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</si>
  <si>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r>
      <rPr>
        <sz val="10"/>
        <rFont val="Calibri Light"/>
        <family val="2"/>
      </rPr>
      <t>Transactions subject to the Alternative approach (Based on the Original Exposure Method</t>
    </r>
    <r>
      <rPr>
        <u/>
        <sz val="10"/>
        <rFont val="Calibri Light"/>
        <family val="2"/>
      </rPr>
      <t>)</t>
    </r>
  </si>
  <si>
    <t>Transactions subject to own funds requirements for CVA risk</t>
  </si>
  <si>
    <t>Template EU CCR3 – Standardised approach – CCR exposures by regulatory exposure class and risk weights</t>
  </si>
  <si>
    <t>Exposure classes</t>
  </si>
  <si>
    <t xml:space="preserve">Central governments or central banks </t>
  </si>
  <si>
    <t xml:space="preserve">Regional government or local authorities </t>
  </si>
  <si>
    <t xml:space="preserve">Total exposure value </t>
  </si>
  <si>
    <t>Standardised approach – CCR exposures by regulatory exposure class and risk weights</t>
  </si>
  <si>
    <r>
      <t>Template EU CCR5 – Composition of collateral for CCR exposure</t>
    </r>
    <r>
      <rPr>
        <b/>
        <strike/>
        <sz val="14"/>
        <rFont val="Calibri"/>
        <family val="2"/>
      </rPr>
      <t>s</t>
    </r>
  </si>
  <si>
    <t>Fixed columns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</si>
  <si>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</si>
  <si>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</si>
  <si>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</si>
  <si>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</si>
  <si>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</si>
  <si>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</si>
  <si>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</si>
  <si>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</si>
  <si>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</si>
  <si>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</si>
  <si>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</si>
  <si>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</si>
  <si>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</si>
  <si>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</si>
  <si>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Composition of collateral for CCR exposures</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</si>
  <si>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</si>
  <si>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</si>
  <si>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</si>
  <si>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</si>
  <si>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</si>
  <si>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</si>
  <si>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</si>
  <si>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</si>
  <si>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</si>
  <si>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</si>
  <si>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</si>
  <si>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</si>
  <si>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</si>
  <si>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</si>
  <si>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Exposures to CCPs</t>
  </si>
  <si>
    <t>Counterparty Credit Risk</t>
  </si>
  <si>
    <t>Market Risk</t>
  </si>
  <si>
    <t>Template EU MR1 - Market risk under the standardised approach</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</si>
  <si>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</si>
  <si>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</si>
  <si>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</si>
  <si>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</si>
  <si>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</si>
  <si>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</si>
  <si>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</si>
  <si>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</si>
  <si>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</si>
  <si>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</si>
  <si>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r>
      <t xml:space="preserve">Securitisation </t>
    </r>
    <r>
      <rPr>
        <sz val="10"/>
        <color theme="1"/>
        <rFont val="Calibri Light"/>
        <family val="2"/>
      </rPr>
      <t>(specific risk)</t>
    </r>
  </si>
  <si>
    <t>Market risk under the standardised approach</t>
  </si>
  <si>
    <t xml:space="preserve"> 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</si>
  <si>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</si>
  <si>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</si>
  <si>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</si>
  <si>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</si>
  <si>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</si>
  <si>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</si>
  <si>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</si>
  <si>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Short rates up</t>
  </si>
  <si>
    <t>Short rates down</t>
  </si>
  <si>
    <t>Interest rate risks of non-trading book activities</t>
  </si>
  <si>
    <t>Liquidity Risk</t>
  </si>
  <si>
    <t xml:space="preserve">Template EU LIQ2: Net Stable Funding Ratio </t>
  </si>
  <si>
    <t>In accordance with Article 451a(3) CRR</t>
  </si>
  <si>
    <t>(in currency amount)</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</si>
  <si>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</si>
  <si>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</si>
  <si>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</si>
  <si>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</si>
  <si>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</si>
  <si>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</si>
  <si>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</si>
  <si>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</si>
  <si>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</si>
  <si>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</si>
  <si>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</si>
  <si>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Stable deposits</t>
  </si>
  <si>
    <t>Less stable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</si>
  <si>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</si>
  <si>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</si>
  <si>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</si>
  <si>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</si>
  <si>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</si>
  <si>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</si>
  <si>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</si>
  <si>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</si>
  <si>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</si>
  <si>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</si>
  <si>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</si>
  <si>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</si>
  <si>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</si>
  <si>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</si>
  <si>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</si>
  <si>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</si>
  <si>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</si>
  <si>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</si>
  <si>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</si>
  <si>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</si>
  <si>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</si>
  <si>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</si>
  <si>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</si>
  <si>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1"/>
        <color theme="1"/>
        <rFont val="Calibri"/>
        <family val="2"/>
        <scheme val="minor"/>
      </rPr>
      <t> </t>
    </r>
  </si>
  <si>
    <t xml:space="preserve">NSFR derivative liabilities before deduction of variation margin posted </t>
  </si>
  <si>
    <t>All other assets not included in the above categories</t>
  </si>
  <si>
    <t>Off-balance sheet items</t>
  </si>
  <si>
    <t>Total RSF</t>
  </si>
  <si>
    <t>Net Stable Funding Ratio (%)</t>
  </si>
  <si>
    <t>Leverage</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</si>
  <si>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</si>
  <si>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</si>
  <si>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</si>
  <si>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</si>
  <si>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</si>
  <si>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sz val="11"/>
        <color theme="1"/>
        <rFont val="Calibri"/>
        <family val="2"/>
        <scheme val="minor"/>
      </rPr>
      <t>s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</si>
  <si>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</si>
  <si>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</si>
  <si>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</si>
  <si>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r>
      <t>Adjustment</t>
    </r>
    <r>
      <rPr>
        <sz val="11"/>
        <color rgb="FF000000"/>
        <rFont val="Calibri"/>
        <family val="2"/>
        <scheme val="minor"/>
      </rPr>
      <t xml:space="preserve"> for derivative financial instruments</t>
    </r>
  </si>
  <si>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</si>
  <si>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</si>
  <si>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</si>
  <si>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(Adjustment for exposures excluded from the total exposure measure in accordance with point (c) of Article 429a(1) CRR)</t>
  </si>
  <si>
    <t>(Adjustment for exposures excluded from the total exposure measure in accordance with point (j) of Article 429a(1) CRR)</t>
  </si>
  <si>
    <t>Other adjustments</t>
  </si>
  <si>
    <r>
      <rPr>
        <b/>
        <sz val="11"/>
        <color theme="1"/>
        <rFont val="Calibri"/>
        <family val="2"/>
        <scheme val="minor"/>
      </rPr>
      <t>T</t>
    </r>
    <r>
      <rPr>
        <b/>
        <sz val="11"/>
        <color rgb="FF000000"/>
        <rFont val="Calibri"/>
        <family val="2"/>
        <scheme val="minor"/>
      </rPr>
      <t>otal exposure measure</t>
    </r>
  </si>
  <si>
    <t>Summary reconciliation of accounting assets and leverage ratio exposures</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</si>
  <si>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</si>
  <si>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</si>
  <si>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</si>
  <si>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</si>
  <si>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</si>
  <si>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</si>
  <si>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</si>
  <si>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</si>
  <si>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</si>
  <si>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</si>
  <si>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</si>
  <si>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</si>
  <si>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</si>
  <si>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</si>
  <si>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</si>
  <si>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</si>
  <si>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</si>
  <si>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r>
      <t>(Exempted CCP leg of client-cleared trade exposures) (simplified standardised approach</t>
    </r>
    <r>
      <rPr>
        <sz val="11"/>
        <rFont val="Calibri"/>
        <family val="2"/>
        <scheme val="minor"/>
      </rPr>
      <t>)</t>
    </r>
  </si>
  <si>
    <r>
      <t xml:space="preserve">(Exempted CCP leg of client-cleared trade exposures) (Original </t>
    </r>
    <r>
      <rPr>
        <sz val="11"/>
        <color theme="1"/>
        <rFont val="Calibri"/>
        <family val="2"/>
        <scheme val="minor"/>
      </rPr>
      <t>Exposure Method)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</si>
  <si>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</si>
  <si>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</si>
  <si>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</si>
  <si>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</si>
  <si>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</si>
  <si>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</si>
  <si>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</si>
  <si>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Derogation for SFTs: Counterparty credit risk exposure in accordance with Articles 429e(5) and 222 CRR</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</si>
  <si>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</si>
  <si>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</si>
  <si>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</si>
  <si>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</si>
  <si>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</si>
  <si>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</si>
  <si>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r>
      <t xml:space="preserve">(General provisions </t>
    </r>
    <r>
      <rPr>
        <sz val="11"/>
        <color theme="1"/>
        <rFont val="Calibri"/>
        <family val="2"/>
        <scheme val="minor"/>
      </rPr>
      <t>deducted in determining Tier 1 capital and specific provisions associated associated with off-balance sheet exposures)</t>
    </r>
  </si>
  <si>
    <t>Off-balance sheet exposures</t>
  </si>
  <si>
    <t>Excluded exposures</t>
  </si>
  <si>
    <t>(Exposures excluded from the total exposure measure in accordance with point (c) of Article 429a(1) CRR)</t>
  </si>
  <si>
    <t>(Exposures exempted in accordance with point (j) of Article 429a(1) CRR (on and off balance sheet))</t>
  </si>
  <si>
    <t>(Excluded exposures of public development banks (or units) - Public sector investments)</t>
  </si>
  <si>
    <t>(Excluded exposures of public development banks (or units) - Promotional loans)</t>
  </si>
  <si>
    <r>
      <t>(Excluded passing-through promotional loan exposures by non-public development banks (or units)</t>
    </r>
    <r>
      <rPr>
        <sz val="11"/>
        <color theme="1"/>
        <rFont val="Calibri"/>
        <family val="2"/>
        <scheme val="minor"/>
      </rPr>
      <t>)</t>
    </r>
  </si>
  <si>
    <t xml:space="preserve">(Excluded guaranteed parts of exposures arising from export credits) </t>
  </si>
  <si>
    <t>(Excluded excess collateral deposited at triparty agents)</t>
  </si>
  <si>
    <t>(Excluded CSD related services of CSD/institutions in accordance with point (o) of Article 429a(1) CRR)</t>
  </si>
  <si>
    <t>(Excluded CSD related services of designated institutions in accordance with point (p) of Article 429a(1) CRR)</t>
  </si>
  <si>
    <t>(Reduction of the exposure value of pre-financing or intermediate loans)</t>
  </si>
  <si>
    <t>(Total exempted exposures)</t>
  </si>
  <si>
    <t>Capital and total exposure measure</t>
  </si>
  <si>
    <t>Tier 1 capital</t>
  </si>
  <si>
    <r>
      <rPr>
        <b/>
        <sz val="11"/>
        <color theme="1"/>
        <rFont val="Calibri"/>
        <family val="2"/>
        <scheme val="minor"/>
      </rPr>
      <t>T</t>
    </r>
    <r>
      <rPr>
        <b/>
        <sz val="11"/>
        <rFont val="Calibri"/>
        <family val="2"/>
        <scheme val="minor"/>
      </rPr>
      <t>otal exposure measure</t>
    </r>
  </si>
  <si>
    <t>Leverage ratio</t>
  </si>
  <si>
    <r>
      <t xml:space="preserve">Leverage ratio </t>
    </r>
    <r>
      <rPr>
        <sz val="11"/>
        <color theme="1"/>
        <rFont val="Calibri"/>
        <family val="2"/>
        <scheme val="minor"/>
      </rPr>
      <t>(%)</t>
    </r>
  </si>
  <si>
    <t>Leverage ratio (excluding the impact of the exemption of public sector investments and promotional loans) (%)</t>
  </si>
  <si>
    <r>
      <t xml:space="preserve">Leverage ratio (excluding the impact of any applicable temporary exemption of central bank reserves) </t>
    </r>
    <r>
      <rPr>
        <sz val="11"/>
        <color theme="1"/>
        <rFont val="Calibri"/>
        <family val="2"/>
        <scheme val="minor"/>
      </rPr>
      <t>(%)</t>
    </r>
  </si>
  <si>
    <t>Regulatory minimum leverage ratio requirement (%)</t>
  </si>
  <si>
    <t xml:space="preserve">Additional own funds requirements to address the risk of excessive leverage (%) </t>
  </si>
  <si>
    <t xml:space="preserve">     of which: to be made up of CET1 capital</t>
  </si>
  <si>
    <t>Leverage ratio buffer requirement (%)</t>
  </si>
  <si>
    <t>Overall leverage ratio requirement (%)</t>
  </si>
  <si>
    <t>Choice on transitional arrangements and relevant exposures</t>
  </si>
  <si>
    <t>Choice on transitional arrangements for the definition of the capital measure</t>
  </si>
  <si>
    <t>Disclosure of mean values</t>
  </si>
  <si>
    <r>
      <t>Mean of daily values of gross SFT assets, after adjustment for sale accounting transactions</t>
    </r>
    <r>
      <rPr>
        <sz val="11"/>
        <rFont val="Calibri"/>
        <family val="2"/>
        <scheme val="minor"/>
      </rPr>
      <t xml:space="preserve"> and netted of amounts of associated cash payables and cash receivable</t>
    </r>
  </si>
  <si>
    <t>Quarter-end value of gross SFT assets, after adjustment for sale accounting transactions and netted of amounts of associated cash payables and cash receivables</t>
  </si>
  <si>
    <r>
      <t>Total exposure</t>
    </r>
    <r>
      <rPr>
        <sz val="11"/>
        <color theme="1"/>
        <rFont val="Calibri"/>
        <family val="2"/>
        <scheme val="minor"/>
      </rPr>
      <t xml:space="preserve"> measure (including the impact of any applicable temporary exemption of central bank reserves) incorporating mean values from row 28 of gross SFT assets (after adjustment for sale accounting transactions and netted of amounts of associated cash payables and cash receivables)</t>
    </r>
  </si>
  <si>
    <r>
      <t>Total exposure</t>
    </r>
    <r>
      <rPr>
        <sz val="11"/>
        <color theme="1"/>
        <rFont val="Calibri"/>
        <family val="2"/>
        <scheme val="minor"/>
      </rPr>
      <t xml:space="preserve"> measure (excluding the impact of any applicable temporary exemption of central bank reserves) incorporating mean values from row 28 of gross SFT assets (after adjustment for sale accounting transactions and netted of amounts of associated cash payables and cash receivables)</t>
    </r>
  </si>
  <si>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</si>
  <si>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</si>
  <si>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common disclosure</t>
  </si>
  <si>
    <t>Solvency need and selected key risk figures - Pillar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</si>
</sst>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_);_(* \(#,##0\);_(* &quot;-&quot;??_);_(@_)"/>
    <numFmt numFmtId="166" formatCode="0.0"/>
    <numFmt numFmtId="167" formatCode="#,##0.0"/>
    <numFmt numFmtId="168" formatCode="_-* #,##0.0_-;\-* #,##0.0_-;_-* &quot;-&quot;??_-;_-@_-"/>
    <numFmt numFmtId="169" formatCode="_-* #,##0_-;\-* #,##0_-;_-* &quot;-&quot;??_-;_-@_-"/>
  </numFmts>
  <fonts count="99"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4"/>
      <color rgb="FF000000"/>
      <name val="Calibri"/>
      <family val="2"/>
      <scheme val="minor"/>
    </font>
    <font>
      <b/>
      <sz val="14"/>
      <color theme="1"/>
      <name val="Calibri"/>
      <family val="2"/>
      <scheme val="minor"/>
    </font>
    <font>
      <sz val="11"/>
      <name val="Calibri"/>
      <family val="2"/>
      <scheme val="minor"/>
    </font>
    <font>
      <b/>
      <sz val="9"/>
      <name val="Calibri"/>
      <family val="2"/>
      <scheme val="minor"/>
    </font>
    <font>
      <sz val="9"/>
      <name val="Calibri"/>
      <family val="2"/>
      <scheme val="minor"/>
    </font>
    <font>
      <sz val="9"/>
      <name val="Calibri Light"/>
      <family val="2"/>
    </font>
    <font>
      <i/>
      <sz val="9"/>
      <name val="Calibri Light"/>
      <family val="2"/>
    </font>
    <font>
      <b/>
      <sz val="9"/>
      <name val="Calibri Light"/>
      <family val="2"/>
    </font>
    <font>
      <sz val="8"/>
      <name val="Calibri"/>
      <family val="2"/>
      <scheme val="minor"/>
    </font>
    <font>
      <b/>
      <i/>
      <sz val="9"/>
      <name val="Calibri"/>
      <family val="2"/>
      <scheme val="minor"/>
    </font>
    <font>
      <sz val="11"/>
      <color rgb="FF000000"/>
      <name val="Calibri"/>
      <family val="2"/>
      <scheme val="minor"/>
    </font>
    <font>
      <b/>
      <sz val="11"/>
      <color rgb="FF000000"/>
      <name val="Calibri"/>
      <family val="2"/>
      <scheme val="minor"/>
    </font>
    <font>
      <b/>
      <sz val="11"/>
      <color rgb="FF000000"/>
      <name val="Calibri"/>
      <family val="2"/>
    </font>
    <font>
      <sz val="11"/>
      <color rgb="FF000000"/>
      <name val="Calibri"/>
      <family val="2"/>
    </font>
    <font>
      <sz val="14"/>
      <color theme="1"/>
      <name val="Calibri"/>
      <family val="2"/>
      <scheme val="minor"/>
    </font>
    <font>
      <b/>
      <sz val="11"/>
      <name val="Calibri"/>
      <family val="2"/>
      <scheme val="minor"/>
    </font>
    <font>
      <b/>
      <sz val="14"/>
      <name val="Calibri"/>
      <family val="2"/>
      <scheme val="minor"/>
    </font>
    <font>
      <sz val="9"/>
      <color theme="1"/>
      <name val="Calibri"/>
      <family val="2"/>
      <scheme val="minor"/>
    </font>
    <font>
      <sz val="10"/>
      <name val="Arial"/>
      <family val="2"/>
    </font>
    <font>
      <sz val="9"/>
      <name val="Calibri"/>
      <family val="2"/>
    </font>
    <font>
      <b/>
      <sz val="9"/>
      <color theme="1"/>
      <name val="Calibri"/>
      <family val="2"/>
      <scheme val="minor"/>
    </font>
    <font>
      <b/>
      <sz val="9"/>
      <name val="Calibri"/>
      <family val="2"/>
    </font>
    <font>
      <strike/>
      <sz val="9"/>
      <name val="Calibri"/>
      <family val="2"/>
    </font>
    <font>
      <sz val="11"/>
      <color theme="1"/>
      <name val="Calibri Light"/>
      <family val="2"/>
      <scheme val="major"/>
    </font>
    <font>
      <b/>
      <sz val="10"/>
      <color rgb="FF2F5773"/>
      <name val="Calibri"/>
      <family val="2"/>
      <scheme val="minor"/>
    </font>
    <font>
      <sz val="12"/>
      <name val="Calibri"/>
      <family val="2"/>
    </font>
    <font>
      <sz val="12"/>
      <color rgb="FF000000"/>
      <name val="Calibri"/>
      <family val="2"/>
    </font>
    <font>
      <b/>
      <i/>
      <sz val="11"/>
      <name val="Calibri"/>
      <family val="2"/>
      <scheme val="minor"/>
    </font>
    <font>
      <b/>
      <sz val="12"/>
      <name val="Calibri"/>
      <family val="2"/>
    </font>
    <font>
      <sz val="12"/>
      <name val="Calibri"/>
      <family val="2"/>
      <scheme val="minor"/>
    </font>
    <font>
      <sz val="8.5"/>
      <name val="Segoe UI"/>
      <family val="2"/>
    </font>
    <font>
      <b/>
      <sz val="8.5"/>
      <name val="Segoe UI"/>
      <family val="2"/>
    </font>
    <font>
      <sz val="16"/>
      <color theme="1"/>
      <name val="Calibri"/>
      <family val="2"/>
      <scheme val="minor"/>
    </font>
    <font>
      <sz val="11"/>
      <color theme="1"/>
      <name val="Calibri"/>
      <family val="2"/>
    </font>
    <font>
      <sz val="11"/>
      <name val="Calibri"/>
      <family val="2"/>
    </font>
    <font>
      <b/>
      <sz val="14"/>
      <color theme="1"/>
      <name val="Calibri"/>
      <family val="2"/>
    </font>
    <font>
      <b/>
      <sz val="8.5"/>
      <color theme="1"/>
      <name val="Calibri"/>
      <family val="2"/>
      <scheme val="minor"/>
    </font>
    <font>
      <sz val="9"/>
      <color theme="1"/>
      <name val="Calibri Light"/>
      <family val="2"/>
      <scheme val="major"/>
    </font>
    <font>
      <sz val="9"/>
      <color rgb="FF000000"/>
      <name val="Calibri Light"/>
      <family val="2"/>
      <scheme val="major"/>
    </font>
    <font>
      <sz val="9"/>
      <name val="Calibri Light"/>
      <family val="2"/>
      <scheme val="major"/>
    </font>
    <font>
      <b/>
      <sz val="12"/>
      <color theme="1"/>
      <name val="Arial"/>
      <family val="2"/>
    </font>
    <font>
      <sz val="8.5"/>
      <color theme="1"/>
      <name val="Segoe UI"/>
      <family val="2"/>
    </font>
    <font>
      <sz val="8"/>
      <color theme="1"/>
      <name val="Segoe UI"/>
      <family val="2"/>
    </font>
    <font>
      <sz val="10"/>
      <color theme="1"/>
      <name val="Arial"/>
      <family val="2"/>
    </font>
    <font>
      <b/>
      <sz val="16"/>
      <name val="Calibri"/>
      <family val="2"/>
    </font>
    <font>
      <b/>
      <sz val="14"/>
      <name val="Calibri"/>
      <family val="2"/>
    </font>
    <font>
      <sz val="10"/>
      <color theme="1"/>
      <name val="Calibri Light"/>
      <family val="2"/>
    </font>
    <font>
      <sz val="10"/>
      <name val="Calibri Light"/>
      <family val="2"/>
    </font>
    <font>
      <u/>
      <sz val="10"/>
      <color rgb="FF008080"/>
      <name val="Calibri Light"/>
      <family val="2"/>
    </font>
    <font>
      <b/>
      <sz val="10"/>
      <color theme="1"/>
      <name val="Calibri Light"/>
      <family val="2"/>
    </font>
    <font>
      <b/>
      <sz val="12"/>
      <color theme="1"/>
      <name val="Calibri Light"/>
      <family val="2"/>
    </font>
    <font>
      <b/>
      <sz val="10"/>
      <name val="Calibri Light"/>
      <family val="2"/>
    </font>
    <font>
      <sz val="11"/>
      <color theme="1"/>
      <name val="Calibri Light"/>
      <family val="2"/>
    </font>
    <font>
      <sz val="9"/>
      <color rgb="FF000000"/>
      <name val="Calibri Light"/>
      <family val="2"/>
    </font>
    <font>
      <sz val="11"/>
      <name val="Calibri Light"/>
      <family val="2"/>
    </font>
    <font>
      <b/>
      <sz val="16"/>
      <color theme="1"/>
      <name val="Arial"/>
      <family val="2"/>
    </font>
    <font>
      <sz val="10"/>
      <color rgb="FF000000"/>
      <name val="Calibri Light"/>
      <family val="2"/>
    </font>
    <font>
      <b/>
      <sz val="10"/>
      <color rgb="FF000000"/>
      <name val="Calibri Light"/>
      <family val="2"/>
    </font>
    <font>
      <sz val="11"/>
      <color rgb="FF0070C0"/>
      <name val="Calibri"/>
      <family val="2"/>
      <scheme val="minor"/>
    </font>
    <font>
      <sz val="12"/>
      <color theme="1"/>
      <name val="Calibri"/>
      <family val="2"/>
      <scheme val="minor"/>
    </font>
    <font>
      <i/>
      <sz val="11"/>
      <color theme="1"/>
      <name val="Calibri"/>
      <family val="2"/>
      <scheme val="minor"/>
    </font>
    <font>
      <i/>
      <sz val="11"/>
      <name val="Calibri"/>
      <family val="2"/>
      <scheme val="minor"/>
    </font>
    <font>
      <sz val="11"/>
      <name val="Calibri Light"/>
      <family val="2"/>
      <scheme val="major"/>
    </font>
    <font>
      <b/>
      <sz val="11"/>
      <name val="Calibri"/>
      <family val="2"/>
    </font>
    <font>
      <b/>
      <sz val="20"/>
      <name val="Calibri"/>
      <family val="2"/>
    </font>
    <font>
      <sz val="6"/>
      <color rgb="FF666666"/>
      <name val="Segoe UI"/>
      <family val="2"/>
    </font>
    <font>
      <b/>
      <u/>
      <sz val="11"/>
      <name val="Calibri"/>
      <family val="2"/>
    </font>
    <font>
      <u/>
      <sz val="11"/>
      <color theme="10"/>
      <name val="Calibri"/>
      <family val="2"/>
      <scheme val="minor"/>
    </font>
    <font>
      <b/>
      <sz val="9"/>
      <name val="Calibri Light"/>
      <family val="2"/>
      <scheme val="major"/>
    </font>
    <font>
      <i/>
      <sz val="9"/>
      <name val="Calibri"/>
      <family val="2"/>
      <scheme val="minor"/>
    </font>
    <font>
      <sz val="11"/>
      <color rgb="FFF2F2F2"/>
      <name val="Calibri"/>
      <family val="2"/>
    </font>
    <font>
      <sz val="11"/>
      <color rgb="FFFFFFFF"/>
      <name val="Calibri"/>
      <family val="2"/>
    </font>
    <font>
      <b/>
      <i/>
      <sz val="12"/>
      <color rgb="FF000000"/>
      <name val="Times New Roman"/>
      <family val="1"/>
    </font>
    <font>
      <i/>
      <sz val="12"/>
      <color rgb="FF000000"/>
      <name val="Times New Roman"/>
      <family val="1"/>
    </font>
    <font>
      <i/>
      <sz val="11"/>
      <color rgb="FF000000"/>
      <name val="Calibri"/>
      <family val="2"/>
    </font>
    <font>
      <i/>
      <sz val="8"/>
      <color theme="1"/>
      <name val="Segoe UI"/>
      <family val="2"/>
    </font>
    <font>
      <b/>
      <i/>
      <sz val="8.5"/>
      <color theme="1"/>
      <name val="Segoe UI"/>
      <family val="2"/>
    </font>
    <font>
      <b/>
      <sz val="8.5"/>
      <color theme="1"/>
      <name val="Segoe UI"/>
      <family val="2"/>
    </font>
    <font>
      <sz val="11"/>
      <color rgb="FF000000"/>
      <name val="Calibri Light"/>
      <family val="2"/>
    </font>
    <font>
      <b/>
      <sz val="11"/>
      <color rgb="FF000000"/>
      <name val="Calibri Light"/>
      <family val="2"/>
    </font>
    <font>
      <i/>
      <sz val="11"/>
      <name val="Calibri Light"/>
      <family val="2"/>
    </font>
    <font>
      <sz val="8.5"/>
      <color theme="1"/>
      <name val="Calibri"/>
      <family val="2"/>
      <scheme val="minor"/>
    </font>
    <font>
      <sz val="12"/>
      <color theme="1"/>
      <name val="Calibri"/>
      <family val="2"/>
    </font>
    <font>
      <sz val="10"/>
      <color rgb="FFFF0000"/>
      <name val="Calibri Light"/>
      <family val="2"/>
    </font>
    <font>
      <i/>
      <sz val="10"/>
      <name val="Calibri Light"/>
      <family val="2"/>
    </font>
    <font>
      <u/>
      <sz val="10"/>
      <name val="Calibri Light"/>
      <family val="2"/>
    </font>
    <font>
      <u/>
      <sz val="11"/>
      <color rgb="FF008080"/>
      <name val="Calibri"/>
      <family val="2"/>
      <scheme val="minor"/>
    </font>
    <font>
      <b/>
      <sz val="9"/>
      <color theme="1"/>
      <name val="Calibri Light"/>
      <family val="2"/>
    </font>
    <font>
      <b/>
      <strike/>
      <sz val="14"/>
      <name val="Calibri"/>
      <family val="2"/>
    </font>
    <font>
      <sz val="10"/>
      <color theme="1"/>
      <name val="Calibri Light"/>
      <family val="2"/>
      <scheme val="major"/>
    </font>
    <font>
      <sz val="10"/>
      <name val="Calibri Light"/>
      <family val="2"/>
      <scheme val="major"/>
    </font>
    <font>
      <b/>
      <sz val="10"/>
      <color theme="1"/>
      <name val="Calibri Light"/>
      <family val="2"/>
      <scheme val="major"/>
    </font>
    <font>
      <i/>
      <strike/>
      <sz val="11"/>
      <color rgb="FFFF0000"/>
      <name val="Calibri"/>
      <family val="2"/>
      <scheme val="minor"/>
    </font>
    <font>
      <i/>
      <sz val="11"/>
      <color theme="9" tint="-0.249977111117893"/>
      <name val="Calibri"/>
      <family val="2"/>
      <scheme val="minor"/>
    </font>
  </fonts>
  <fills count="17">
    <fill>
      <patternFill patternType="none"/>
    </fill>
    <fill>
      <patternFill patternType="gray125"/>
    </fill>
    <fill>
      <patternFill patternType="solid">
        <fgColor rgb="FFB2BDC8"/>
        <bgColor indexed="64"/>
      </patternFill>
    </fill>
    <fill>
      <patternFill patternType="solid">
        <fgColor rgb="FFFFFFFF"/>
        <bgColor indexed="64"/>
      </patternFill>
    </fill>
    <fill>
      <patternFill patternType="solid">
        <fgColor indexed="42"/>
        <bgColor indexed="64"/>
      </patternFill>
    </fill>
    <fill>
      <patternFill patternType="solid">
        <fgColor rgb="FFFFFFFF"/>
        <bgColor rgb="FF000000"/>
      </patternFill>
    </fill>
    <fill>
      <patternFill patternType="solid">
        <fgColor rgb="FF808080"/>
        <bgColor rgb="FF000000"/>
      </patternFill>
    </fill>
    <fill>
      <patternFill patternType="solid">
        <fgColor theme="0"/>
        <bgColor indexed="64"/>
      </patternFill>
    </fill>
    <fill>
      <patternFill patternType="solid">
        <fgColor theme="0" tint="-4.9989318521683403E-2"/>
        <bgColor indexed="64"/>
      </patternFill>
    </fill>
    <fill>
      <patternFill patternType="solid">
        <fgColor rgb="FF595959"/>
        <bgColor indexed="64"/>
      </patternFill>
    </fill>
    <fill>
      <patternFill patternType="solid">
        <fgColor theme="0" tint="-0.249977111117893"/>
        <bgColor indexed="64"/>
      </patternFill>
    </fill>
    <fill>
      <patternFill patternType="solid">
        <fgColor rgb="FFBFBFBF"/>
        <bgColor indexed="64"/>
      </patternFill>
    </fill>
    <fill>
      <patternFill patternType="solid">
        <fgColor rgb="FFD9DDE3"/>
        <bgColor indexed="64"/>
      </patternFill>
    </fill>
    <fill>
      <patternFill patternType="solid">
        <fgColor rgb="FF5E788E"/>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2"/>
        <bgColor indexed="64"/>
      </patternFill>
    </fill>
  </fills>
  <borders count="5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style="thin">
        <color rgb="FF000000"/>
      </bottom>
      <diagonal/>
    </border>
    <border>
      <left/>
      <right style="medium">
        <color rgb="FFFFFFFF"/>
      </right>
      <top/>
      <bottom/>
      <diagonal/>
    </border>
    <border>
      <left/>
      <right style="medium">
        <color rgb="FF000000"/>
      </right>
      <top/>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lignment vertical="center"/>
    </xf>
    <xf numFmtId="3" fontId="23" fillId="4" borderId="2" applyFont="0">
      <alignment horizontal="right" vertical="center"/>
      <protection locked="0"/>
    </xf>
    <xf numFmtId="0" fontId="23" fillId="0" borderId="0">
      <alignment vertical="center"/>
    </xf>
    <xf numFmtId="0" fontId="23" fillId="0" borderId="0"/>
    <xf numFmtId="0" fontId="23" fillId="0" borderId="0"/>
    <xf numFmtId="0" fontId="72" fillId="0" borderId="0" applyNumberFormat="0" applyFill="0" applyBorder="0" applyAlignment="0" applyProtection="0"/>
  </cellStyleXfs>
  <cellXfs count="561">
    <xf numFmtId="0" fontId="0" fillId="0" borderId="0" xfId="0"/>
    <xf numFmtId="0" fontId="5" fillId="0" borderId="1" xfId="0" applyFont="1" applyBorder="1" applyAlignment="1">
      <alignment vertical="center"/>
    </xf>
    <xf numFmtId="0" fontId="6" fillId="0" borderId="0" xfId="0" applyFont="1"/>
    <xf numFmtId="0" fontId="0" fillId="0" borderId="2" xfId="0" applyBorder="1"/>
    <xf numFmtId="0" fontId="7" fillId="0" borderId="2"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justify" vertical="center"/>
    </xf>
    <xf numFmtId="3" fontId="10" fillId="0" borderId="6" xfId="0" applyNumberFormat="1" applyFont="1" applyBorder="1" applyAlignment="1">
      <alignment horizontal="right" wrapText="1"/>
    </xf>
    <xf numFmtId="0" fontId="11" fillId="0" borderId="6" xfId="0" applyFont="1" applyBorder="1" applyAlignment="1">
      <alignment horizontal="right" wrapText="1"/>
    </xf>
    <xf numFmtId="0" fontId="10" fillId="0" borderId="6" xfId="0" applyFont="1" applyBorder="1"/>
    <xf numFmtId="0" fontId="10" fillId="0" borderId="6" xfId="0" applyFont="1" applyBorder="1" applyAlignment="1">
      <alignment horizontal="right" wrapText="1"/>
    </xf>
    <xf numFmtId="0" fontId="8" fillId="0" borderId="2" xfId="0" applyFont="1" applyBorder="1" applyAlignment="1">
      <alignment horizontal="center" vertical="center"/>
    </xf>
    <xf numFmtId="0" fontId="8" fillId="0" borderId="2" xfId="0" applyFont="1" applyBorder="1" applyAlignment="1">
      <alignment horizontal="justify" vertical="center"/>
    </xf>
    <xf numFmtId="3" fontId="12" fillId="0" borderId="6" xfId="0" applyNumberFormat="1" applyFont="1" applyBorder="1" applyAlignment="1">
      <alignment horizontal="right"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9" fillId="0" borderId="2" xfId="0" applyFont="1" applyBorder="1" applyAlignment="1">
      <alignment horizontal="justify" vertical="center" wrapText="1"/>
    </xf>
    <xf numFmtId="0" fontId="9" fillId="0" borderId="2" xfId="0" applyFont="1" applyBorder="1" applyAlignment="1">
      <alignment vertical="center" wrapText="1"/>
    </xf>
    <xf numFmtId="0" fontId="8" fillId="0" borderId="2" xfId="0" applyFont="1" applyBorder="1" applyAlignment="1">
      <alignment horizontal="justify" vertical="center" wrapText="1"/>
    </xf>
    <xf numFmtId="0" fontId="10" fillId="0" borderId="2" xfId="0" applyFont="1" applyBorder="1" applyAlignment="1">
      <alignment horizontal="right" wrapText="1"/>
    </xf>
    <xf numFmtId="0" fontId="8" fillId="0" borderId="2" xfId="0" applyFont="1" applyBorder="1" applyAlignment="1">
      <alignment vertical="center" wrapText="1"/>
    </xf>
    <xf numFmtId="164" fontId="10" fillId="0" borderId="6" xfId="2" applyNumberFormat="1" applyFont="1" applyBorder="1" applyAlignment="1">
      <alignment horizontal="right" wrapText="1"/>
    </xf>
    <xf numFmtId="0" fontId="9" fillId="0" borderId="2" xfId="0" applyFont="1" applyBorder="1" applyAlignment="1">
      <alignment horizontal="left" vertical="center" wrapText="1" indent="1"/>
    </xf>
    <xf numFmtId="0" fontId="9" fillId="0" borderId="2" xfId="0" applyFont="1" applyBorder="1" applyAlignment="1">
      <alignment horizontal="right" vertical="center"/>
    </xf>
    <xf numFmtId="0" fontId="9" fillId="0" borderId="7" xfId="0" applyFont="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6" fillId="2" borderId="9"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5" fillId="0" borderId="8" xfId="0" applyFont="1" applyBorder="1" applyAlignment="1">
      <alignment horizontal="center" vertical="center" wrapText="1"/>
    </xf>
    <xf numFmtId="0" fontId="18" fillId="0" borderId="8" xfId="0" applyFont="1" applyBorder="1"/>
    <xf numFmtId="3" fontId="0" fillId="0" borderId="0" xfId="0" applyNumberFormat="1"/>
    <xf numFmtId="0" fontId="19" fillId="0" borderId="0" xfId="0" applyFont="1"/>
    <xf numFmtId="0" fontId="21" fillId="0" borderId="0" xfId="0" applyFont="1" applyAlignment="1">
      <alignment vertical="center"/>
    </xf>
    <xf numFmtId="0" fontId="22" fillId="0" borderId="2" xfId="0" applyFont="1" applyBorder="1"/>
    <xf numFmtId="0" fontId="22" fillId="0" borderId="13" xfId="0" applyFont="1" applyBorder="1"/>
    <xf numFmtId="0" fontId="22" fillId="3" borderId="7"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2" fillId="0" borderId="2" xfId="0" quotePrefix="1" applyFont="1" applyBorder="1" applyAlignment="1">
      <alignment horizontal="center"/>
    </xf>
    <xf numFmtId="0" fontId="8" fillId="2" borderId="2" xfId="3" applyFont="1" applyFill="1" applyBorder="1" applyAlignment="1">
      <alignment horizontal="left" vertical="center" indent="1"/>
    </xf>
    <xf numFmtId="3" fontId="9" fillId="2" borderId="2" xfId="4" applyFont="1" applyFill="1" applyAlignment="1">
      <alignment horizontal="center" vertical="center"/>
      <protection locked="0"/>
    </xf>
    <xf numFmtId="0" fontId="22" fillId="2" borderId="2" xfId="0" applyFont="1" applyFill="1" applyBorder="1"/>
    <xf numFmtId="0" fontId="24" fillId="5" borderId="2" xfId="0" applyFont="1" applyFill="1" applyBorder="1"/>
    <xf numFmtId="165" fontId="24" fillId="5" borderId="5" xfId="0" applyNumberFormat="1" applyFont="1" applyFill="1" applyBorder="1" applyAlignment="1">
      <alignment horizontal="right"/>
    </xf>
    <xf numFmtId="9" fontId="24" fillId="5" borderId="5" xfId="2" applyFont="1" applyFill="1" applyBorder="1" applyAlignment="1">
      <alignment horizontal="right"/>
    </xf>
    <xf numFmtId="0" fontId="24" fillId="5" borderId="6" xfId="0" applyFont="1" applyFill="1" applyBorder="1"/>
    <xf numFmtId="165" fontId="24" fillId="5" borderId="11" xfId="0" applyNumberFormat="1" applyFont="1" applyFill="1" applyBorder="1" applyAlignment="1">
      <alignment horizontal="right"/>
    </xf>
    <xf numFmtId="9" fontId="24" fillId="5" borderId="11" xfId="2" applyFont="1" applyFill="1" applyBorder="1" applyAlignment="1">
      <alignment horizontal="right"/>
    </xf>
    <xf numFmtId="0" fontId="26" fillId="0" borderId="6" xfId="0" applyFont="1" applyBorder="1"/>
    <xf numFmtId="165" fontId="26" fillId="5" borderId="11" xfId="0" applyNumberFormat="1" applyFont="1" applyFill="1" applyBorder="1" applyAlignment="1">
      <alignment horizontal="right"/>
    </xf>
    <xf numFmtId="165" fontId="26" fillId="5" borderId="5" xfId="0" applyNumberFormat="1" applyFont="1" applyFill="1" applyBorder="1" applyAlignment="1">
      <alignment horizontal="right"/>
    </xf>
    <xf numFmtId="9" fontId="26" fillId="5" borderId="11" xfId="2" applyFont="1" applyFill="1" applyBorder="1" applyAlignment="1">
      <alignment horizontal="right"/>
    </xf>
    <xf numFmtId="165" fontId="27" fillId="6" borderId="11" xfId="0" applyNumberFormat="1" applyFont="1" applyFill="1" applyBorder="1" applyAlignment="1">
      <alignment horizontal="right"/>
    </xf>
    <xf numFmtId="0" fontId="0" fillId="0" borderId="2" xfId="0" applyBorder="1" applyAlignment="1">
      <alignment horizontal="center"/>
    </xf>
    <xf numFmtId="0" fontId="0" fillId="3" borderId="2" xfId="0" applyFill="1" applyBorder="1" applyAlignment="1">
      <alignment horizontal="center" vertical="center" wrapText="1"/>
    </xf>
    <xf numFmtId="0" fontId="0" fillId="0" borderId="2" xfId="0" quotePrefix="1" applyBorder="1" applyAlignment="1">
      <alignment horizontal="center" vertical="center"/>
    </xf>
    <xf numFmtId="0" fontId="7" fillId="0" borderId="2" xfId="3" applyFont="1" applyBorder="1" applyAlignment="1">
      <alignment horizontal="left" vertical="center" wrapText="1" indent="1"/>
    </xf>
    <xf numFmtId="3" fontId="7" fillId="0" borderId="2" xfId="4" applyFont="1" applyFill="1" applyAlignment="1">
      <alignment horizontal="center" vertical="center"/>
      <protection locked="0"/>
    </xf>
    <xf numFmtId="3" fontId="7" fillId="0" borderId="2" xfId="4" applyFont="1" applyFill="1" applyAlignment="1">
      <alignment horizontal="center" vertical="center" wrapText="1"/>
      <protection locked="0"/>
    </xf>
    <xf numFmtId="0" fontId="29" fillId="0" borderId="0" xfId="0" applyFont="1" applyAlignment="1">
      <alignment vertical="center"/>
    </xf>
    <xf numFmtId="0" fontId="29" fillId="0" borderId="2" xfId="0" applyFont="1" applyBorder="1" applyAlignment="1">
      <alignment vertical="center"/>
    </xf>
    <xf numFmtId="0" fontId="0" fillId="0" borderId="5" xfId="0" applyBorder="1"/>
    <xf numFmtId="0" fontId="0" fillId="0" borderId="6" xfId="0" applyBorder="1"/>
    <xf numFmtId="0" fontId="0" fillId="0" borderId="2" xfId="0" applyBorder="1" applyAlignment="1">
      <alignment horizontal="center"/>
    </xf>
    <xf numFmtId="0" fontId="0" fillId="0" borderId="11" xfId="0" applyBorder="1"/>
    <xf numFmtId="0" fontId="0" fillId="0" borderId="2" xfId="0"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wrapText="1"/>
    </xf>
    <xf numFmtId="3" fontId="30" fillId="0" borderId="2" xfId="0" applyNumberFormat="1" applyFont="1" applyBorder="1" applyAlignment="1">
      <alignment horizontal="right"/>
    </xf>
    <xf numFmtId="3" fontId="31" fillId="0" borderId="5" xfId="0" applyNumberFormat="1" applyFont="1" applyBorder="1" applyAlignment="1">
      <alignment horizontal="right"/>
    </xf>
    <xf numFmtId="3" fontId="18" fillId="0" borderId="5" xfId="0" applyNumberFormat="1" applyFont="1" applyBorder="1" applyAlignment="1">
      <alignment horizontal="right"/>
    </xf>
    <xf numFmtId="3" fontId="30" fillId="0" borderId="6" xfId="0" applyNumberFormat="1" applyFont="1" applyBorder="1" applyAlignment="1">
      <alignment horizontal="right"/>
    </xf>
    <xf numFmtId="3" fontId="31" fillId="0" borderId="11" xfId="0" applyNumberFormat="1" applyFont="1" applyBorder="1" applyAlignment="1">
      <alignment horizontal="right"/>
    </xf>
    <xf numFmtId="3" fontId="18" fillId="0" borderId="11" xfId="0" applyNumberFormat="1" applyFont="1" applyBorder="1" applyAlignment="1">
      <alignment horizontal="right"/>
    </xf>
    <xf numFmtId="0" fontId="32" fillId="0" borderId="2" xfId="0" applyFont="1" applyBorder="1" applyAlignment="1">
      <alignment horizontal="center" vertical="center"/>
    </xf>
    <xf numFmtId="0" fontId="32" fillId="0" borderId="5" xfId="0" applyFont="1" applyBorder="1" applyAlignment="1">
      <alignment wrapText="1"/>
    </xf>
    <xf numFmtId="3" fontId="33" fillId="0" borderId="6" xfId="0" applyNumberFormat="1" applyFont="1" applyBorder="1" applyAlignment="1">
      <alignment horizontal="right"/>
    </xf>
    <xf numFmtId="3" fontId="33" fillId="0" borderId="11" xfId="0" applyNumberFormat="1" applyFont="1" applyBorder="1" applyAlignment="1">
      <alignment horizontal="right"/>
    </xf>
    <xf numFmtId="3" fontId="17" fillId="0" borderId="11" xfId="0" applyNumberFormat="1" applyFont="1" applyBorder="1" applyAlignment="1">
      <alignment horizontal="right"/>
    </xf>
    <xf numFmtId="0" fontId="7" fillId="0" borderId="0" xfId="0" applyFont="1"/>
    <xf numFmtId="0" fontId="34" fillId="0" borderId="0" xfId="0" applyFont="1" applyAlignment="1">
      <alignment vertical="center"/>
    </xf>
    <xf numFmtId="0" fontId="34" fillId="0" borderId="0" xfId="0" applyFont="1"/>
    <xf numFmtId="0" fontId="34" fillId="0" borderId="19" xfId="0" applyFont="1" applyBorder="1" applyAlignment="1">
      <alignment vertical="center"/>
    </xf>
    <xf numFmtId="0" fontId="35" fillId="0" borderId="33" xfId="0" applyFont="1" applyBorder="1" applyAlignment="1">
      <alignment horizontal="center" vertical="center" wrapText="1"/>
    </xf>
    <xf numFmtId="0" fontId="34" fillId="0" borderId="30" xfId="0" applyFont="1" applyBorder="1" applyAlignment="1">
      <alignment vertical="center"/>
    </xf>
    <xf numFmtId="0" fontId="34" fillId="0" borderId="31" xfId="0" applyFont="1" applyBorder="1"/>
    <xf numFmtId="0" fontId="35" fillId="0" borderId="30" xfId="0" applyFont="1" applyBorder="1" applyAlignment="1">
      <alignment horizontal="center" vertical="center" wrapText="1"/>
    </xf>
    <xf numFmtId="49" fontId="36" fillId="0" borderId="33" xfId="0" applyNumberFormat="1" applyFont="1" applyBorder="1" applyAlignment="1">
      <alignment horizontal="center" vertical="center" wrapText="1"/>
    </xf>
    <xf numFmtId="0" fontId="36" fillId="0" borderId="18" xfId="0" applyFont="1" applyBorder="1" applyAlignment="1">
      <alignment vertical="center" wrapText="1"/>
    </xf>
    <xf numFmtId="3" fontId="35" fillId="0" borderId="31" xfId="0" applyNumberFormat="1" applyFont="1" applyBorder="1" applyAlignment="1">
      <alignment horizontal="right" vertical="center" wrapText="1"/>
    </xf>
    <xf numFmtId="49" fontId="35" fillId="0" borderId="30" xfId="0" applyNumberFormat="1" applyFont="1" applyBorder="1" applyAlignment="1">
      <alignment horizontal="center" vertical="center" wrapText="1"/>
    </xf>
    <xf numFmtId="0" fontId="35" fillId="0" borderId="31" xfId="0" applyFont="1" applyBorder="1" applyAlignment="1">
      <alignment vertical="center" wrapText="1"/>
    </xf>
    <xf numFmtId="0" fontId="35" fillId="0" borderId="31" xfId="0" applyFont="1" applyBorder="1" applyAlignment="1">
      <alignment horizontal="left" vertical="center" wrapText="1" indent="1"/>
    </xf>
    <xf numFmtId="49" fontId="36" fillId="0" borderId="30" xfId="0" applyNumberFormat="1" applyFont="1" applyBorder="1" applyAlignment="1">
      <alignment horizontal="center" vertical="center" wrapText="1"/>
    </xf>
    <xf numFmtId="0" fontId="36" fillId="0" borderId="31" xfId="0" applyFont="1" applyBorder="1" applyAlignment="1">
      <alignment vertical="center" wrapText="1"/>
    </xf>
    <xf numFmtId="0" fontId="37" fillId="0" borderId="0" xfId="0" applyFont="1"/>
    <xf numFmtId="0" fontId="38" fillId="0" borderId="0" xfId="0" applyFont="1"/>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0" fillId="0" borderId="2" xfId="0" applyBorder="1" applyAlignment="1">
      <alignment vertical="center" wrapText="1"/>
    </xf>
    <xf numFmtId="3" fontId="18" fillId="5" borderId="5" xfId="0" applyNumberFormat="1" applyFont="1" applyFill="1" applyBorder="1" applyAlignment="1">
      <alignment horizontal="right" wrapText="1"/>
    </xf>
    <xf numFmtId="164" fontId="15" fillId="5" borderId="5" xfId="0" applyNumberFormat="1" applyFont="1" applyFill="1" applyBorder="1" applyAlignment="1">
      <alignment horizontal="right" wrapText="1"/>
    </xf>
    <xf numFmtId="0" fontId="7" fillId="0" borderId="2" xfId="0" applyFont="1" applyBorder="1" applyAlignment="1">
      <alignment horizontal="left" vertical="center" wrapText="1"/>
    </xf>
    <xf numFmtId="3" fontId="18" fillId="5" borderId="11" xfId="0" applyNumberFormat="1" applyFont="1" applyFill="1" applyBorder="1" applyAlignment="1">
      <alignment horizontal="right" wrapText="1"/>
    </xf>
    <xf numFmtId="164" fontId="15" fillId="5" borderId="11" xfId="0" applyNumberFormat="1" applyFont="1" applyFill="1" applyBorder="1" applyAlignment="1">
      <alignment horizontal="right" wrapText="1"/>
    </xf>
    <xf numFmtId="0" fontId="41" fillId="0" borderId="2" xfId="0" applyFont="1" applyBorder="1" applyAlignment="1">
      <alignment vertical="center" wrapText="1"/>
    </xf>
    <xf numFmtId="3" fontId="17" fillId="5" borderId="11" xfId="0" applyNumberFormat="1" applyFont="1" applyFill="1" applyBorder="1" applyAlignment="1">
      <alignment horizontal="right" wrapText="1"/>
    </xf>
    <xf numFmtId="164" fontId="16" fillId="5" borderId="11" xfId="0" applyNumberFormat="1" applyFont="1" applyFill="1" applyBorder="1" applyAlignment="1">
      <alignment horizontal="right" wrapText="1"/>
    </xf>
    <xf numFmtId="9" fontId="20" fillId="0" borderId="2" xfId="0" applyNumberFormat="1" applyFont="1" applyBorder="1" applyAlignment="1">
      <alignment horizontal="center" vertical="center" wrapText="1"/>
    </xf>
    <xf numFmtId="0" fontId="0" fillId="0" borderId="5" xfId="0" applyBorder="1" applyAlignment="1">
      <alignment horizontal="center" vertical="center"/>
    </xf>
    <xf numFmtId="0" fontId="7" fillId="0" borderId="5" xfId="0" applyFont="1" applyBorder="1" applyAlignment="1">
      <alignment horizontal="center" vertical="center"/>
    </xf>
    <xf numFmtId="3" fontId="43" fillId="0" borderId="5" xfId="0" applyNumberFormat="1" applyFont="1" applyBorder="1" applyAlignment="1">
      <alignment horizontal="right"/>
    </xf>
    <xf numFmtId="0" fontId="43" fillId="0" borderId="2" xfId="0" applyFont="1" applyBorder="1" applyAlignment="1">
      <alignment horizontal="right"/>
    </xf>
    <xf numFmtId="3" fontId="43" fillId="0" borderId="2" xfId="0" applyNumberFormat="1" applyFont="1" applyBorder="1" applyAlignment="1">
      <alignment horizontal="right"/>
    </xf>
    <xf numFmtId="3" fontId="42" fillId="0" borderId="2" xfId="0" applyNumberFormat="1" applyFont="1" applyBorder="1" applyAlignment="1">
      <alignment horizontal="right"/>
    </xf>
    <xf numFmtId="0" fontId="42" fillId="0" borderId="2" xfId="0" applyFont="1" applyBorder="1" applyAlignment="1">
      <alignment horizontal="right"/>
    </xf>
    <xf numFmtId="0" fontId="0" fillId="0" borderId="0" xfId="0" applyAlignment="1">
      <alignment horizontal="center" vertical="center"/>
    </xf>
    <xf numFmtId="0" fontId="46" fillId="0" borderId="0" xfId="0" applyFont="1" applyAlignment="1">
      <alignment horizontal="center" vertical="center" wrapText="1"/>
    </xf>
    <xf numFmtId="0" fontId="46" fillId="0" borderId="0" xfId="0" applyFont="1" applyAlignment="1">
      <alignment vertical="center" wrapText="1"/>
    </xf>
    <xf numFmtId="0" fontId="47" fillId="0" borderId="0" xfId="0" applyFont="1" applyAlignment="1">
      <alignment horizontal="center" vertical="center" wrapText="1"/>
    </xf>
    <xf numFmtId="0" fontId="50" fillId="0" borderId="0" xfId="5" applyFont="1">
      <alignment vertical="center"/>
    </xf>
    <xf numFmtId="0" fontId="51" fillId="11" borderId="2" xfId="0" applyFont="1" applyFill="1" applyBorder="1" applyAlignment="1">
      <alignment vertical="center" wrapText="1"/>
    </xf>
    <xf numFmtId="0" fontId="51" fillId="0" borderId="2" xfId="0" applyFont="1" applyBorder="1" applyAlignment="1">
      <alignment vertical="center" wrapText="1"/>
    </xf>
    <xf numFmtId="0" fontId="52" fillId="0" borderId="2" xfId="0" applyFont="1" applyBorder="1" applyAlignment="1">
      <alignment horizontal="center" vertical="center" wrapText="1"/>
    </xf>
    <xf numFmtId="167" fontId="51" fillId="0" borderId="2" xfId="0" applyNumberFormat="1" applyFont="1" applyBorder="1" applyAlignment="1">
      <alignment vertical="center" wrapText="1"/>
    </xf>
    <xf numFmtId="0" fontId="48" fillId="0" borderId="0" xfId="0" applyFont="1"/>
    <xf numFmtId="0" fontId="50" fillId="0" borderId="0" xfId="0" applyFont="1" applyAlignment="1">
      <alignment vertical="center"/>
    </xf>
    <xf numFmtId="0" fontId="55" fillId="0" borderId="7" xfId="0" applyFont="1" applyBorder="1"/>
    <xf numFmtId="0" fontId="51" fillId="0" borderId="13" xfId="0" applyFont="1" applyBorder="1" applyAlignment="1">
      <alignment vertical="center" wrapText="1"/>
    </xf>
    <xf numFmtId="0" fontId="52" fillId="0" borderId="2"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6" xfId="0" applyFont="1" applyBorder="1" applyAlignment="1">
      <alignment vertical="center" wrapText="1"/>
    </xf>
    <xf numFmtId="0" fontId="52" fillId="0" borderId="2" xfId="0" applyFont="1" applyBorder="1" applyAlignment="1">
      <alignment vertical="center" wrapText="1"/>
    </xf>
    <xf numFmtId="0" fontId="56" fillId="0" borderId="2" xfId="0" applyFont="1" applyBorder="1" applyAlignment="1">
      <alignment vertical="center" wrapText="1"/>
    </xf>
    <xf numFmtId="167" fontId="54" fillId="0" borderId="2" xfId="0" applyNumberFormat="1" applyFont="1" applyBorder="1" applyAlignment="1">
      <alignment vertical="center" wrapText="1"/>
    </xf>
    <xf numFmtId="0" fontId="57" fillId="0" borderId="0" xfId="0" applyFont="1"/>
    <xf numFmtId="0" fontId="51" fillId="0" borderId="2" xfId="0" applyFont="1" applyBorder="1" applyAlignment="1">
      <alignment horizontal="center" vertical="center" wrapText="1"/>
    </xf>
    <xf numFmtId="3" fontId="58" fillId="0" borderId="2" xfId="0" applyNumberFormat="1" applyFont="1" applyBorder="1" applyAlignment="1">
      <alignment wrapText="1"/>
    </xf>
    <xf numFmtId="3" fontId="58" fillId="0" borderId="5" xfId="0" applyNumberFormat="1" applyFont="1" applyBorder="1" applyAlignment="1">
      <alignment wrapText="1"/>
    </xf>
    <xf numFmtId="3" fontId="58" fillId="0" borderId="6" xfId="0" applyNumberFormat="1" applyFont="1" applyBorder="1" applyAlignment="1">
      <alignment wrapText="1"/>
    </xf>
    <xf numFmtId="3" fontId="58" fillId="0" borderId="11" xfId="0" applyNumberFormat="1" applyFont="1" applyBorder="1" applyAlignment="1">
      <alignment wrapText="1"/>
    </xf>
    <xf numFmtId="0" fontId="51" fillId="0" borderId="2" xfId="0" applyFont="1" applyBorder="1" applyAlignment="1">
      <alignment vertical="center"/>
    </xf>
    <xf numFmtId="0" fontId="49" fillId="0" borderId="0" xfId="0" applyFont="1"/>
    <xf numFmtId="0" fontId="50" fillId="0" borderId="0" xfId="0" applyFont="1"/>
    <xf numFmtId="0" fontId="60" fillId="0" borderId="0" xfId="0" applyFont="1"/>
    <xf numFmtId="0" fontId="57" fillId="0" borderId="14" xfId="0" applyFont="1" applyBorder="1"/>
    <xf numFmtId="0" fontId="54" fillId="0" borderId="2"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center" vertical="center"/>
    </xf>
    <xf numFmtId="169" fontId="0" fillId="0" borderId="0" xfId="0" applyNumberFormat="1"/>
    <xf numFmtId="0" fontId="33" fillId="0" borderId="0" xfId="0" applyFont="1"/>
    <xf numFmtId="0" fontId="52" fillId="0" borderId="7" xfId="0" applyFont="1" applyBorder="1" applyAlignment="1">
      <alignment horizontal="center" vertical="center" wrapText="1"/>
    </xf>
    <xf numFmtId="0" fontId="52" fillId="0" borderId="6" xfId="0" applyFont="1" applyBorder="1" applyAlignment="1">
      <alignment horizontal="center" vertical="center" wrapText="1"/>
    </xf>
    <xf numFmtId="168" fontId="52" fillId="2" borderId="2" xfId="1" applyNumberFormat="1" applyFont="1" applyFill="1" applyBorder="1" applyAlignment="1">
      <alignment vertical="center"/>
    </xf>
    <xf numFmtId="168" fontId="52" fillId="0" borderId="2" xfId="1" applyNumberFormat="1" applyFont="1" applyBorder="1" applyAlignment="1">
      <alignment vertical="center"/>
    </xf>
    <xf numFmtId="0" fontId="52" fillId="0" borderId="2" xfId="0" applyFont="1" applyBorder="1" applyAlignment="1">
      <alignment vertical="center"/>
    </xf>
    <xf numFmtId="0" fontId="56" fillId="0" borderId="2" xfId="0" applyFont="1" applyBorder="1" applyAlignment="1">
      <alignment horizontal="center" vertical="center" wrapText="1"/>
    </xf>
    <xf numFmtId="0" fontId="56" fillId="0" borderId="2" xfId="0" applyFont="1" applyBorder="1" applyAlignment="1">
      <alignment vertical="center"/>
    </xf>
    <xf numFmtId="0" fontId="52" fillId="2" borderId="2" xfId="0" applyFont="1" applyFill="1" applyBorder="1" applyAlignment="1">
      <alignment vertical="center"/>
    </xf>
    <xf numFmtId="0" fontId="5" fillId="0" borderId="0" xfId="0" applyFont="1"/>
    <xf numFmtId="0" fontId="5" fillId="0" borderId="0" xfId="0" applyFont="1" applyAlignment="1">
      <alignment vertical="center" wrapTex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15" fillId="0" borderId="6" xfId="0" applyFont="1" applyBorder="1" applyAlignment="1">
      <alignment horizontal="center" vertical="center" wrapText="1"/>
    </xf>
    <xf numFmtId="0" fontId="15" fillId="0" borderId="2" xfId="0" applyFont="1" applyBorder="1" applyAlignment="1">
      <alignment vertical="center" wrapText="1"/>
    </xf>
    <xf numFmtId="3" fontId="7" fillId="0" borderId="2" xfId="0" quotePrefix="1" applyNumberFormat="1" applyFont="1" applyBorder="1"/>
    <xf numFmtId="3" fontId="7" fillId="0" borderId="2" xfId="0" quotePrefix="1" applyNumberFormat="1" applyFont="1" applyBorder="1" applyAlignment="1">
      <alignment horizontal="right"/>
    </xf>
    <xf numFmtId="3" fontId="0" fillId="0" borderId="2" xfId="0" quotePrefix="1" applyNumberFormat="1" applyBorder="1" applyAlignment="1">
      <alignment horizontal="right" wrapText="1"/>
    </xf>
    <xf numFmtId="0" fontId="7" fillId="0" borderId="2" xfId="0" applyFont="1" applyBorder="1" applyAlignment="1">
      <alignment vertical="center" wrapText="1"/>
    </xf>
    <xf numFmtId="3" fontId="3" fillId="0" borderId="2" xfId="0" quotePrefix="1" applyNumberFormat="1" applyFont="1" applyBorder="1" applyAlignment="1">
      <alignment horizontal="right" wrapText="1"/>
    </xf>
    <xf numFmtId="3" fontId="7" fillId="0" borderId="2" xfId="0" quotePrefix="1" applyNumberFormat="1" applyFont="1" applyBorder="1" applyAlignment="1">
      <alignment horizontal="right" wrapText="1"/>
    </xf>
    <xf numFmtId="3" fontId="0" fillId="0" borderId="2" xfId="0" applyNumberFormat="1" applyBorder="1" applyAlignment="1">
      <alignment horizontal="right"/>
    </xf>
    <xf numFmtId="3" fontId="0" fillId="0" borderId="2" xfId="0" quotePrefix="1" applyNumberFormat="1" applyBorder="1" applyAlignment="1">
      <alignment horizontal="right"/>
    </xf>
    <xf numFmtId="3" fontId="4" fillId="0" borderId="2" xfId="0" quotePrefix="1" applyNumberFormat="1" applyFont="1" applyBorder="1" applyAlignment="1">
      <alignment horizontal="right"/>
    </xf>
    <xf numFmtId="0" fontId="0" fillId="0" borderId="0" xfId="0" applyAlignment="1">
      <alignment horizontal="center"/>
    </xf>
    <xf numFmtId="0" fontId="4" fillId="0" borderId="2"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3" fontId="0" fillId="0" borderId="2" xfId="0" quotePrefix="1" applyNumberFormat="1" applyBorder="1"/>
    <xf numFmtId="3" fontId="0" fillId="0" borderId="2" xfId="0" applyNumberFormat="1" applyBorder="1"/>
    <xf numFmtId="0" fontId="7" fillId="3" borderId="2" xfId="0" applyFont="1" applyFill="1" applyBorder="1" applyAlignment="1">
      <alignment horizontal="center" vertical="center" wrapText="1"/>
    </xf>
    <xf numFmtId="0" fontId="0" fillId="0" borderId="2" xfId="0" quotePrefix="1" applyBorder="1" applyAlignment="1">
      <alignment horizontal="right"/>
    </xf>
    <xf numFmtId="0" fontId="7" fillId="0" borderId="2" xfId="5" applyFont="1" applyBorder="1" applyAlignment="1">
      <alignment vertical="center" wrapText="1"/>
    </xf>
    <xf numFmtId="0" fontId="3" fillId="0" borderId="2" xfId="0" quotePrefix="1" applyFont="1" applyBorder="1" applyAlignment="1">
      <alignment horizontal="right"/>
    </xf>
    <xf numFmtId="0" fontId="20" fillId="12" borderId="2" xfId="0" quotePrefix="1" applyFont="1" applyFill="1" applyBorder="1" applyAlignment="1">
      <alignment wrapText="1"/>
    </xf>
    <xf numFmtId="0" fontId="15" fillId="3" borderId="2" xfId="0" applyFont="1" applyFill="1" applyBorder="1" applyAlignment="1">
      <alignment vertical="center" wrapText="1"/>
    </xf>
    <xf numFmtId="0" fontId="7" fillId="0" borderId="2" xfId="0" applyFont="1" applyBorder="1" applyAlignment="1">
      <alignment horizontal="justify" vertical="top"/>
    </xf>
    <xf numFmtId="0" fontId="7" fillId="0" borderId="2" xfId="0" quotePrefix="1" applyFont="1" applyBorder="1" applyAlignment="1">
      <alignment horizontal="right"/>
    </xf>
    <xf numFmtId="0" fontId="7" fillId="0" borderId="2" xfId="5" applyFont="1" applyBorder="1" applyAlignment="1">
      <alignment horizontal="justify" vertical="top"/>
    </xf>
    <xf numFmtId="0" fontId="15" fillId="3" borderId="2" xfId="0" applyFont="1" applyFill="1" applyBorder="1" applyAlignment="1">
      <alignment horizontal="center" vertical="center" wrapText="1"/>
    </xf>
    <xf numFmtId="0" fontId="15" fillId="0" borderId="2" xfId="0" applyFont="1" applyBorder="1" applyAlignment="1">
      <alignment horizontal="left" vertical="center" wrapText="1" indent="1"/>
    </xf>
    <xf numFmtId="0" fontId="7" fillId="0" borderId="2" xfId="0" applyFont="1" applyBorder="1" applyAlignment="1">
      <alignment horizontal="left" vertical="center" wrapText="1" indent="1"/>
    </xf>
    <xf numFmtId="0" fontId="0" fillId="0" borderId="2" xfId="0" applyBorder="1" applyAlignment="1">
      <alignment horizontal="left" vertical="center" wrapText="1" indent="1"/>
    </xf>
    <xf numFmtId="0" fontId="0" fillId="12" borderId="2" xfId="0" applyFill="1" applyBorder="1" applyAlignment="1">
      <alignment horizontal="center" vertical="center"/>
    </xf>
    <xf numFmtId="0" fontId="20" fillId="2" borderId="3" xfId="0" applyFont="1" applyFill="1" applyBorder="1" applyAlignment="1">
      <alignment horizontal="center"/>
    </xf>
    <xf numFmtId="0" fontId="20" fillId="2" borderId="4" xfId="0" applyFont="1" applyFill="1" applyBorder="1" applyAlignment="1">
      <alignment horizontal="center"/>
    </xf>
    <xf numFmtId="0" fontId="20" fillId="2" borderId="5" xfId="0" applyFont="1" applyFill="1" applyBorder="1" applyAlignment="1">
      <alignment horizontal="center"/>
    </xf>
    <xf numFmtId="0" fontId="4" fillId="12" borderId="2" xfId="0" applyFont="1" applyFill="1" applyBorder="1" applyAlignment="1">
      <alignment horizontal="justify" vertical="top"/>
    </xf>
    <xf numFmtId="3" fontId="4" fillId="12" borderId="2" xfId="0" quotePrefix="1" applyNumberFormat="1" applyFont="1" applyFill="1" applyBorder="1" applyAlignment="1">
      <alignment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7" fillId="0" borderId="2" xfId="0" applyFont="1" applyBorder="1" applyAlignment="1">
      <alignment horizontal="justify" vertical="center"/>
    </xf>
    <xf numFmtId="0" fontId="7" fillId="0" borderId="2" xfId="0" applyFont="1" applyBorder="1" applyAlignment="1">
      <alignment horizontal="justify" vertical="top" wrapText="1"/>
    </xf>
    <xf numFmtId="0" fontId="7" fillId="12" borderId="2" xfId="5" applyFont="1" applyFill="1" applyBorder="1" applyAlignment="1">
      <alignment horizontal="justify" vertical="center"/>
    </xf>
    <xf numFmtId="0" fontId="0" fillId="12" borderId="2" xfId="5" applyFont="1" applyFill="1" applyBorder="1" applyAlignment="1">
      <alignment horizontal="justify" vertical="top"/>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0" fillId="0" borderId="2" xfId="0" applyFont="1" applyBorder="1" applyAlignment="1">
      <alignment vertical="center"/>
    </xf>
    <xf numFmtId="3" fontId="4" fillId="0" borderId="2" xfId="0" applyNumberFormat="1" applyFont="1" applyBorder="1" applyAlignment="1">
      <alignment horizontal="right"/>
    </xf>
    <xf numFmtId="0" fontId="7" fillId="12" borderId="2" xfId="0" applyFont="1" applyFill="1" applyBorder="1" applyAlignment="1">
      <alignment horizontal="center" vertical="center"/>
    </xf>
    <xf numFmtId="3" fontId="20" fillId="12" borderId="2" xfId="0" applyNumberFormat="1" applyFont="1" applyFill="1" applyBorder="1" applyAlignment="1">
      <alignment horizontal="right" vertical="top"/>
    </xf>
    <xf numFmtId="164" fontId="7" fillId="0" borderId="2" xfId="2" quotePrefix="1" applyNumberFormat="1" applyFont="1" applyBorder="1" applyAlignment="1">
      <alignment wrapText="1"/>
    </xf>
    <xf numFmtId="164" fontId="7" fillId="0" borderId="2" xfId="2" applyNumberFormat="1" applyFont="1" applyBorder="1"/>
    <xf numFmtId="164" fontId="7" fillId="0" borderId="2" xfId="2" quotePrefix="1" applyNumberFormat="1" applyFont="1" applyBorder="1"/>
    <xf numFmtId="0" fontId="7" fillId="0" borderId="2" xfId="0" quotePrefix="1" applyFont="1" applyBorder="1" applyAlignment="1">
      <alignment horizontal="right" wrapText="1"/>
    </xf>
    <xf numFmtId="0" fontId="7" fillId="0" borderId="2" xfId="0" applyFont="1" applyBorder="1"/>
    <xf numFmtId="164" fontId="7" fillId="0" borderId="2" xfId="0" applyNumberFormat="1" applyFont="1" applyBorder="1"/>
    <xf numFmtId="0" fontId="45" fillId="0" borderId="0" xfId="0" applyFont="1" applyAlignment="1">
      <alignment vertical="center"/>
    </xf>
    <xf numFmtId="0" fontId="48" fillId="0" borderId="0" xfId="0" applyFont="1" applyAlignment="1">
      <alignment vertical="center"/>
    </xf>
    <xf numFmtId="0" fontId="40" fillId="0" borderId="0" xfId="0" applyFont="1" applyAlignment="1">
      <alignment vertical="center"/>
    </xf>
    <xf numFmtId="0" fontId="51" fillId="0" borderId="2" xfId="0" applyFont="1" applyBorder="1" applyAlignment="1">
      <alignment horizontal="center" vertical="center"/>
    </xf>
    <xf numFmtId="0" fontId="51" fillId="0" borderId="2" xfId="0" applyFont="1" applyBorder="1" applyAlignment="1">
      <alignment wrapText="1"/>
    </xf>
    <xf numFmtId="0" fontId="61" fillId="0" borderId="2" xfId="0" applyFont="1" applyBorder="1" applyAlignment="1">
      <alignment vertical="center" wrapText="1"/>
    </xf>
    <xf numFmtId="0" fontId="61" fillId="0" borderId="2" xfId="0" applyFont="1" applyBorder="1" applyAlignment="1">
      <alignment horizontal="center" vertical="center" wrapText="1"/>
    </xf>
    <xf numFmtId="0" fontId="62" fillId="0" borderId="2" xfId="0" applyFont="1" applyBorder="1" applyAlignment="1">
      <alignment horizontal="justify" vertical="center" wrapText="1"/>
    </xf>
    <xf numFmtId="0" fontId="61" fillId="12" borderId="2" xfId="0" applyFont="1" applyFill="1" applyBorder="1" applyAlignment="1">
      <alignment vertical="center"/>
    </xf>
    <xf numFmtId="0" fontId="51" fillId="0" borderId="2" xfId="0" applyFont="1" applyBorder="1" applyAlignment="1">
      <alignment horizontal="center" wrapText="1"/>
    </xf>
    <xf numFmtId="0" fontId="61" fillId="0" borderId="2" xfId="0" applyFont="1" applyBorder="1" applyAlignment="1">
      <alignment horizontal="left" vertical="center" wrapText="1" indent="3"/>
    </xf>
    <xf numFmtId="3" fontId="61" fillId="0" borderId="2" xfId="0" applyNumberFormat="1" applyFont="1" applyBorder="1" applyAlignment="1">
      <alignment vertical="center"/>
    </xf>
    <xf numFmtId="0" fontId="62" fillId="0" borderId="2" xfId="0" applyFont="1" applyBorder="1" applyAlignment="1">
      <alignment vertical="center" wrapText="1"/>
    </xf>
    <xf numFmtId="3" fontId="61" fillId="12" borderId="2" xfId="0" applyNumberFormat="1" applyFont="1" applyFill="1" applyBorder="1" applyAlignment="1">
      <alignment vertical="center"/>
    </xf>
    <xf numFmtId="0" fontId="61" fillId="0" borderId="2" xfId="0" applyFont="1" applyBorder="1" applyAlignment="1">
      <alignment horizontal="left" vertical="center" wrapText="1" indent="2"/>
    </xf>
    <xf numFmtId="0" fontId="6" fillId="0" borderId="0" xfId="0" applyFont="1" applyAlignment="1">
      <alignment horizontal="left" vertical="center"/>
    </xf>
    <xf numFmtId="0" fontId="0" fillId="0" borderId="0" xfId="0" applyAlignment="1">
      <alignment horizontal="left" vertical="center"/>
    </xf>
    <xf numFmtId="0" fontId="63" fillId="0" borderId="0" xfId="0" applyFont="1" applyAlignment="1">
      <alignment horizontal="left" vertical="center"/>
    </xf>
    <xf numFmtId="0" fontId="7" fillId="0" borderId="14" xfId="6" applyFont="1" applyBorder="1" applyAlignment="1">
      <alignment horizontal="center" vertical="center" wrapText="1"/>
    </xf>
    <xf numFmtId="0" fontId="7" fillId="0" borderId="15" xfId="6" applyFont="1" applyBorder="1" applyAlignment="1">
      <alignment horizontal="center" vertical="center" wrapText="1"/>
    </xf>
    <xf numFmtId="49" fontId="7" fillId="0" borderId="2" xfId="6" applyNumberFormat="1" applyFont="1" applyBorder="1" applyAlignment="1">
      <alignment horizontal="center" vertical="center" wrapText="1"/>
    </xf>
    <xf numFmtId="0" fontId="7" fillId="0" borderId="34" xfId="6" applyFont="1" applyBorder="1" applyAlignment="1">
      <alignment horizontal="center" vertical="center" wrapText="1"/>
    </xf>
    <xf numFmtId="0" fontId="7" fillId="0" borderId="12" xfId="6" applyFont="1" applyBorder="1" applyAlignment="1">
      <alignment horizontal="center" vertical="center" wrapText="1"/>
    </xf>
    <xf numFmtId="0" fontId="7" fillId="0" borderId="3" xfId="6" applyFont="1" applyBorder="1" applyAlignment="1">
      <alignment horizontal="center" vertical="center" wrapText="1"/>
    </xf>
    <xf numFmtId="0" fontId="7" fillId="0" borderId="5" xfId="6" applyFont="1" applyBorder="1" applyAlignment="1">
      <alignment horizontal="center" vertical="center" wrapText="1"/>
    </xf>
    <xf numFmtId="0" fontId="7" fillId="0" borderId="9" xfId="6" applyFont="1" applyBorder="1" applyAlignment="1">
      <alignment horizontal="center" vertical="center" wrapText="1"/>
    </xf>
    <xf numFmtId="0" fontId="7" fillId="0" borderId="11"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 xfId="6" applyFont="1" applyBorder="1" applyAlignment="1">
      <alignment horizontal="left" vertical="center" wrapText="1"/>
    </xf>
    <xf numFmtId="0" fontId="7" fillId="0" borderId="2" xfId="6" applyFont="1" applyBorder="1" applyAlignment="1">
      <alignment vertical="center" wrapText="1"/>
    </xf>
    <xf numFmtId="0" fontId="7" fillId="12" borderId="2" xfId="6" applyFont="1" applyFill="1" applyBorder="1" applyAlignment="1">
      <alignment horizontal="center" vertical="center" wrapText="1"/>
    </xf>
    <xf numFmtId="0" fontId="7" fillId="0" borderId="2" xfId="6" quotePrefix="1" applyFont="1" applyBorder="1" applyAlignment="1">
      <alignment horizontal="center" vertical="center" wrapText="1"/>
    </xf>
    <xf numFmtId="165" fontId="0" fillId="0" borderId="0" xfId="0" applyNumberFormat="1"/>
    <xf numFmtId="0" fontId="64" fillId="0" borderId="0" xfId="0" applyFont="1" applyAlignment="1">
      <alignment vertical="center"/>
    </xf>
    <xf numFmtId="0" fontId="0" fillId="0" borderId="0" xfId="0" applyAlignment="1">
      <alignment vertical="center"/>
    </xf>
    <xf numFmtId="165" fontId="0" fillId="0" borderId="0" xfId="0" applyNumberFormat="1" applyAlignment="1">
      <alignment vertical="center"/>
    </xf>
    <xf numFmtId="0" fontId="65" fillId="0" borderId="35" xfId="0" applyFont="1" applyBorder="1" applyAlignment="1">
      <alignment vertical="center"/>
    </xf>
    <xf numFmtId="0" fontId="65" fillId="0" borderId="36" xfId="0" applyFont="1" applyBorder="1" applyAlignment="1">
      <alignment vertical="center"/>
    </xf>
    <xf numFmtId="165" fontId="0" fillId="0" borderId="17" xfId="0" applyNumberFormat="1" applyBorder="1" applyAlignment="1">
      <alignment horizontal="center" vertical="center" wrapText="1"/>
    </xf>
    <xf numFmtId="165" fontId="0" fillId="0" borderId="33" xfId="0" applyNumberFormat="1" applyBorder="1" applyAlignment="1">
      <alignment horizontal="center" vertical="center" wrapText="1"/>
    </xf>
    <xf numFmtId="165" fontId="0" fillId="0" borderId="18" xfId="0" applyNumberFormat="1" applyBorder="1" applyAlignment="1">
      <alignment horizontal="center" vertical="center" wrapText="1"/>
    </xf>
    <xf numFmtId="165" fontId="0" fillId="0" borderId="37" xfId="0" applyNumberFormat="1" applyBorder="1" applyAlignment="1">
      <alignment horizontal="center" vertical="center"/>
    </xf>
    <xf numFmtId="0" fontId="65" fillId="0" borderId="25" xfId="0" applyFont="1" applyBorder="1" applyAlignment="1">
      <alignment vertical="center"/>
    </xf>
    <xf numFmtId="0" fontId="65" fillId="0" borderId="24" xfId="0" applyFont="1" applyBorder="1" applyAlignment="1">
      <alignment vertical="center"/>
    </xf>
    <xf numFmtId="165" fontId="0" fillId="0" borderId="17" xfId="0" applyNumberFormat="1" applyBorder="1" applyAlignment="1">
      <alignment horizontal="center" vertical="center" wrapText="1"/>
    </xf>
    <xf numFmtId="165" fontId="0" fillId="0" borderId="20" xfId="0" applyNumberFormat="1" applyBorder="1" applyAlignment="1">
      <alignment horizontal="center" vertical="center" wrapText="1"/>
    </xf>
    <xf numFmtId="165" fontId="0" fillId="0" borderId="18" xfId="0" applyNumberFormat="1" applyBorder="1" applyAlignment="1">
      <alignment horizontal="center" vertical="center" wrapText="1"/>
    </xf>
    <xf numFmtId="165" fontId="0" fillId="0" borderId="38" xfId="0" applyNumberFormat="1" applyBorder="1" applyAlignment="1">
      <alignment horizontal="center" vertical="center" wrapText="1"/>
    </xf>
    <xf numFmtId="0" fontId="65" fillId="0" borderId="39" xfId="0" applyFont="1" applyBorder="1" applyAlignment="1">
      <alignment vertical="center"/>
    </xf>
    <xf numFmtId="0" fontId="65" fillId="0" borderId="1" xfId="0" applyFont="1" applyBorder="1" applyAlignment="1">
      <alignment vertical="center"/>
    </xf>
    <xf numFmtId="165" fontId="0" fillId="0" borderId="25" xfId="0" applyNumberFormat="1" applyBorder="1" applyAlignment="1">
      <alignment horizontal="center" vertical="center" wrapText="1"/>
    </xf>
    <xf numFmtId="165" fontId="0" fillId="0" borderId="19" xfId="0" applyNumberFormat="1" applyBorder="1" applyAlignment="1">
      <alignment horizontal="center" vertical="center" wrapText="1"/>
    </xf>
    <xf numFmtId="165" fontId="0" fillId="0" borderId="40" xfId="0" applyNumberFormat="1" applyBorder="1" applyAlignment="1">
      <alignment horizontal="center" vertical="center" wrapText="1"/>
    </xf>
    <xf numFmtId="0" fontId="2" fillId="13" borderId="17" xfId="0" applyFont="1" applyFill="1" applyBorder="1" applyAlignment="1">
      <alignment vertical="center"/>
    </xf>
    <xf numFmtId="0" fontId="2" fillId="13" borderId="20" xfId="0" applyFont="1" applyFill="1" applyBorder="1" applyAlignment="1">
      <alignment vertical="center"/>
    </xf>
    <xf numFmtId="165" fontId="2" fillId="13" borderId="20" xfId="0" applyNumberFormat="1" applyFont="1" applyFill="1" applyBorder="1" applyAlignment="1">
      <alignment vertical="center"/>
    </xf>
    <xf numFmtId="165" fontId="2" fillId="13" borderId="20" xfId="0" applyNumberFormat="1" applyFont="1" applyFill="1" applyBorder="1" applyAlignment="1">
      <alignment horizontal="center" vertical="center"/>
    </xf>
    <xf numFmtId="165" fontId="2" fillId="13" borderId="21" xfId="0" applyNumberFormat="1" applyFont="1" applyFill="1" applyBorder="1" applyAlignment="1">
      <alignment vertical="center"/>
    </xf>
    <xf numFmtId="0" fontId="0" fillId="12" borderId="30" xfId="0" applyFill="1" applyBorder="1" applyAlignment="1">
      <alignment horizontal="center" vertical="center" wrapText="1"/>
    </xf>
    <xf numFmtId="0" fontId="0" fillId="12" borderId="31" xfId="0" applyFill="1" applyBorder="1" applyAlignment="1">
      <alignment vertical="center" wrapText="1"/>
    </xf>
    <xf numFmtId="165" fontId="4" fillId="12" borderId="17" xfId="0" applyNumberFormat="1" applyFont="1" applyFill="1" applyBorder="1" applyAlignment="1">
      <alignment vertical="center" wrapText="1"/>
    </xf>
    <xf numFmtId="165" fontId="4" fillId="12" borderId="33" xfId="0" applyNumberFormat="1" applyFont="1" applyFill="1" applyBorder="1" applyAlignment="1">
      <alignment vertical="center" wrapText="1"/>
    </xf>
    <xf numFmtId="165" fontId="4" fillId="12" borderId="41" xfId="0" applyNumberFormat="1" applyFont="1" applyFill="1" applyBorder="1" applyAlignment="1">
      <alignment horizontal="center" vertical="center"/>
    </xf>
    <xf numFmtId="0" fontId="0" fillId="0" borderId="30" xfId="0" applyBorder="1" applyAlignment="1">
      <alignment horizontal="center" vertical="center"/>
    </xf>
    <xf numFmtId="0" fontId="65" fillId="0" borderId="31" xfId="0" applyFont="1" applyBorder="1" applyAlignment="1">
      <alignment horizontal="left" vertical="center" wrapText="1" indent="2"/>
    </xf>
    <xf numFmtId="165" fontId="0" fillId="0" borderId="31" xfId="0" applyNumberFormat="1" applyBorder="1" applyAlignment="1">
      <alignment horizontal="center" vertical="center" wrapText="1"/>
    </xf>
    <xf numFmtId="165" fontId="0" fillId="0" borderId="41" xfId="0" applyNumberFormat="1" applyBorder="1" applyAlignment="1">
      <alignment horizontal="center" vertical="center" wrapText="1"/>
    </xf>
    <xf numFmtId="0" fontId="0" fillId="12" borderId="30" xfId="0" applyFill="1" applyBorder="1" applyAlignment="1">
      <alignment horizontal="center" vertical="center"/>
    </xf>
    <xf numFmtId="165" fontId="4" fillId="12" borderId="31" xfId="0" applyNumberFormat="1" applyFont="1" applyFill="1" applyBorder="1" applyAlignment="1">
      <alignment horizontal="center" vertical="center" wrapText="1"/>
    </xf>
    <xf numFmtId="165" fontId="4" fillId="12" borderId="41" xfId="0" applyNumberFormat="1" applyFont="1" applyFill="1" applyBorder="1" applyAlignment="1">
      <alignment horizontal="center" vertical="center" wrapText="1"/>
    </xf>
    <xf numFmtId="165" fontId="0" fillId="0" borderId="17" xfId="0" applyNumberFormat="1" applyBorder="1" applyAlignment="1">
      <alignment vertical="center" wrapText="1"/>
    </xf>
    <xf numFmtId="165" fontId="0" fillId="0" borderId="33" xfId="0" applyNumberFormat="1" applyBorder="1" applyAlignment="1">
      <alignment vertical="center" wrapText="1"/>
    </xf>
    <xf numFmtId="0" fontId="65" fillId="0" borderId="42" xfId="0" applyFont="1" applyBorder="1" applyAlignment="1">
      <alignment horizontal="left" vertical="center" wrapText="1" indent="2"/>
    </xf>
    <xf numFmtId="165" fontId="0" fillId="15" borderId="41" xfId="0" applyNumberFormat="1" applyFill="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vertical="center" wrapText="1"/>
    </xf>
    <xf numFmtId="165" fontId="0" fillId="14" borderId="17" xfId="0" applyNumberFormat="1" applyFill="1" applyBorder="1" applyAlignment="1">
      <alignment vertical="center"/>
    </xf>
    <xf numFmtId="165" fontId="0" fillId="14" borderId="33" xfId="0" applyNumberFormat="1" applyFill="1" applyBorder="1" applyAlignment="1">
      <alignment vertical="center"/>
    </xf>
    <xf numFmtId="165" fontId="4" fillId="0" borderId="41" xfId="0" applyNumberFormat="1" applyFont="1" applyBorder="1" applyAlignment="1">
      <alignment horizontal="center" vertical="center"/>
    </xf>
    <xf numFmtId="0" fontId="2" fillId="13" borderId="17" xfId="0" applyFont="1" applyFill="1" applyBorder="1" applyAlignment="1">
      <alignment horizontal="left" vertical="center"/>
    </xf>
    <xf numFmtId="0" fontId="2" fillId="13" borderId="20" xfId="0" applyFont="1" applyFill="1" applyBorder="1" applyAlignment="1">
      <alignment horizontal="left" vertical="center"/>
    </xf>
    <xf numFmtId="0" fontId="2" fillId="13" borderId="21" xfId="0" applyFont="1" applyFill="1" applyBorder="1" applyAlignment="1">
      <alignment horizontal="left" vertical="center"/>
    </xf>
    <xf numFmtId="165" fontId="0" fillId="14" borderId="17" xfId="0" applyNumberFormat="1" applyFill="1" applyBorder="1" applyAlignment="1">
      <alignment vertical="center" wrapText="1"/>
    </xf>
    <xf numFmtId="165" fontId="4" fillId="14" borderId="33" xfId="0" applyNumberFormat="1" applyFont="1" applyFill="1" applyBorder="1" applyAlignment="1">
      <alignment horizontal="center" vertical="center" wrapText="1"/>
    </xf>
    <xf numFmtId="165" fontId="4" fillId="16" borderId="41" xfId="0" applyNumberFormat="1" applyFont="1" applyFill="1" applyBorder="1" applyAlignment="1">
      <alignment horizontal="center" vertical="center" wrapText="1"/>
    </xf>
    <xf numFmtId="165" fontId="0" fillId="14" borderId="17" xfId="0" applyNumberFormat="1" applyFill="1" applyBorder="1" applyAlignment="1">
      <alignment horizontal="center" vertical="center" wrapText="1"/>
    </xf>
    <xf numFmtId="165" fontId="4" fillId="12" borderId="33" xfId="0" applyNumberFormat="1" applyFont="1" applyFill="1" applyBorder="1" applyAlignment="1">
      <alignment horizontal="center" vertical="center" wrapText="1"/>
    </xf>
    <xf numFmtId="0" fontId="66" fillId="0" borderId="31" xfId="0" applyFont="1" applyBorder="1" applyAlignment="1">
      <alignment horizontal="left" vertical="center" wrapText="1" indent="2"/>
    </xf>
    <xf numFmtId="0" fontId="65" fillId="0" borderId="31" xfId="0" applyFont="1" applyBorder="1" applyAlignment="1">
      <alignment horizontal="left" vertical="center" wrapText="1" indent="4"/>
    </xf>
    <xf numFmtId="165" fontId="4" fillId="12" borderId="17" xfId="0" quotePrefix="1" applyNumberFormat="1" applyFont="1" applyFill="1" applyBorder="1" applyAlignment="1">
      <alignment vertical="center" wrapText="1"/>
    </xf>
    <xf numFmtId="165" fontId="4" fillId="12" borderId="33" xfId="0" quotePrefix="1" applyNumberFormat="1" applyFont="1" applyFill="1" applyBorder="1" applyAlignment="1">
      <alignment vertical="center" wrapText="1"/>
    </xf>
    <xf numFmtId="165" fontId="4" fillId="12" borderId="33" xfId="0" quotePrefix="1" applyNumberFormat="1" applyFont="1" applyFill="1" applyBorder="1" applyAlignment="1">
      <alignment horizontal="center" vertical="center" wrapText="1"/>
    </xf>
    <xf numFmtId="165" fontId="4" fillId="12" borderId="31" xfId="0" quotePrefix="1" applyNumberFormat="1" applyFont="1" applyFill="1" applyBorder="1" applyAlignment="1">
      <alignment horizontal="center" vertical="center" wrapText="1"/>
    </xf>
    <xf numFmtId="165" fontId="0" fillId="15" borderId="17" xfId="0" applyNumberFormat="1" applyFill="1" applyBorder="1" applyAlignment="1">
      <alignment vertical="center" wrapText="1"/>
    </xf>
    <xf numFmtId="165" fontId="7" fillId="7" borderId="17" xfId="0" applyNumberFormat="1" applyFont="1" applyFill="1" applyBorder="1" applyAlignment="1">
      <alignment vertical="center" wrapText="1"/>
    </xf>
    <xf numFmtId="165" fontId="7" fillId="7" borderId="33" xfId="0" applyNumberFormat="1" applyFont="1" applyFill="1" applyBorder="1" applyAlignment="1">
      <alignment vertical="center" wrapText="1"/>
    </xf>
    <xf numFmtId="165" fontId="4" fillId="7" borderId="17" xfId="0" applyNumberFormat="1" applyFont="1" applyFill="1" applyBorder="1" applyAlignment="1">
      <alignment vertical="center" wrapText="1"/>
    </xf>
    <xf numFmtId="165" fontId="4" fillId="7" borderId="33" xfId="0" applyNumberFormat="1" applyFont="1" applyFill="1" applyBorder="1" applyAlignment="1">
      <alignment horizontal="center" vertical="center" wrapText="1"/>
    </xf>
    <xf numFmtId="165" fontId="0" fillId="14" borderId="33" xfId="0" applyNumberFormat="1" applyFill="1" applyBorder="1" applyAlignment="1">
      <alignment horizontal="center" vertical="center"/>
    </xf>
    <xf numFmtId="0" fontId="4" fillId="0" borderId="18" xfId="0" applyFont="1" applyBorder="1" applyAlignment="1">
      <alignment vertical="center" wrapText="1"/>
    </xf>
    <xf numFmtId="10" fontId="4" fillId="0" borderId="18" xfId="0" applyNumberFormat="1" applyFont="1" applyBorder="1" applyAlignment="1">
      <alignment vertical="center"/>
    </xf>
    <xf numFmtId="0" fontId="6" fillId="0" borderId="0" xfId="0" applyFont="1" applyAlignment="1">
      <alignment horizontal="left" wrapText="1"/>
    </xf>
    <xf numFmtId="0" fontId="69" fillId="0" borderId="0" xfId="0" applyFont="1" applyAlignment="1">
      <alignment horizontal="left" vertical="center" wrapText="1"/>
    </xf>
    <xf numFmtId="0" fontId="39" fillId="0" borderId="0" xfId="0" applyFont="1" applyAlignment="1">
      <alignment horizontal="left" vertical="center" wrapText="1"/>
    </xf>
    <xf numFmtId="0" fontId="68" fillId="0" borderId="0" xfId="0" applyFont="1" applyAlignment="1">
      <alignment horizontal="left" vertical="center" wrapText="1"/>
    </xf>
    <xf numFmtId="0" fontId="70" fillId="0" borderId="0" xfId="0" applyFont="1" applyAlignment="1">
      <alignment horizontal="left" vertical="center" wrapText="1"/>
    </xf>
    <xf numFmtId="0" fontId="49" fillId="0" borderId="0" xfId="0" applyFont="1" applyAlignment="1">
      <alignment horizontal="left" vertical="center" wrapText="1"/>
    </xf>
    <xf numFmtId="0" fontId="71" fillId="0" borderId="0" xfId="0" applyFont="1" applyAlignment="1">
      <alignment horizontal="left" vertical="center" wrapText="1"/>
    </xf>
    <xf numFmtId="0" fontId="39" fillId="0" borderId="0" xfId="0" applyFont="1" applyAlignment="1">
      <alignment horizontal="left" vertical="center" wrapText="1"/>
    </xf>
    <xf numFmtId="0" fontId="39" fillId="0" borderId="0" xfId="0" quotePrefix="1" applyFont="1" applyAlignment="1">
      <alignment horizontal="left" vertical="center" wrapText="1"/>
    </xf>
    <xf numFmtId="0" fontId="72" fillId="0" borderId="0" xfId="8"/>
    <xf numFmtId="0" fontId="72" fillId="0" borderId="0" xfId="8" quotePrefix="1"/>
    <xf numFmtId="3" fontId="44" fillId="0" borderId="2" xfId="0" applyNumberFormat="1" applyFont="1" applyBorder="1" applyAlignment="1">
      <alignment vertical="center"/>
    </xf>
    <xf numFmtId="0" fontId="44" fillId="0" borderId="2" xfId="0" applyFont="1" applyBorder="1" applyAlignment="1">
      <alignment vertical="center"/>
    </xf>
    <xf numFmtId="3" fontId="44" fillId="0" borderId="6" xfId="0" applyNumberFormat="1" applyFont="1" applyBorder="1" applyAlignment="1">
      <alignment horizontal="right" wrapText="1"/>
    </xf>
    <xf numFmtId="3" fontId="73" fillId="0" borderId="2" xfId="0" applyNumberFormat="1" applyFont="1" applyBorder="1" applyAlignment="1">
      <alignment vertical="center"/>
    </xf>
    <xf numFmtId="0" fontId="9" fillId="0" borderId="2" xfId="0" applyFont="1" applyBorder="1" applyAlignment="1">
      <alignment horizontal="center" vertical="center" wrapText="1"/>
    </xf>
    <xf numFmtId="3" fontId="8" fillId="0" borderId="2" xfId="0" applyNumberFormat="1" applyFont="1" applyBorder="1" applyAlignment="1">
      <alignment vertical="center"/>
    </xf>
    <xf numFmtId="164" fontId="10" fillId="0" borderId="2" xfId="2" applyNumberFormat="1" applyFont="1" applyBorder="1" applyAlignment="1">
      <alignment horizontal="right" wrapText="1"/>
    </xf>
    <xf numFmtId="0" fontId="9" fillId="0" borderId="2" xfId="0" applyFont="1" applyBorder="1" applyAlignment="1">
      <alignment vertical="center"/>
    </xf>
    <xf numFmtId="0" fontId="9" fillId="0" borderId="7" xfId="0" applyFont="1" applyBorder="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xf>
    <xf numFmtId="0" fontId="0" fillId="0" borderId="44" xfId="0" applyBorder="1"/>
    <xf numFmtId="0" fontId="16" fillId="0" borderId="45" xfId="0" applyFont="1" applyBorder="1" applyAlignment="1">
      <alignment vertical="center" wrapText="1"/>
    </xf>
    <xf numFmtId="0" fontId="16" fillId="0" borderId="46" xfId="0" applyFont="1" applyBorder="1" applyAlignment="1">
      <alignment vertical="center" wrapText="1"/>
    </xf>
    <xf numFmtId="0" fontId="18" fillId="0" borderId="46" xfId="0" applyFont="1" applyBorder="1"/>
    <xf numFmtId="3" fontId="18" fillId="0" borderId="8" xfId="0" applyNumberFormat="1" applyFont="1" applyBorder="1" applyAlignment="1">
      <alignment horizontal="right" wrapText="1"/>
    </xf>
    <xf numFmtId="0" fontId="18" fillId="0" borderId="8" xfId="0" applyFont="1" applyBorder="1" applyAlignment="1">
      <alignment wrapText="1"/>
    </xf>
    <xf numFmtId="0" fontId="0" fillId="0" borderId="34" xfId="0" applyBorder="1"/>
    <xf numFmtId="0" fontId="16" fillId="0" borderId="2" xfId="0" applyFont="1" applyBorder="1" applyAlignment="1">
      <alignment vertical="center" wrapText="1"/>
    </xf>
    <xf numFmtId="3" fontId="16" fillId="0" borderId="2" xfId="0" applyNumberFormat="1" applyFont="1" applyBorder="1" applyAlignment="1">
      <alignment vertical="center" wrapText="1"/>
    </xf>
    <xf numFmtId="0" fontId="16" fillId="2" borderId="3" xfId="0" applyFont="1" applyFill="1" applyBorder="1" applyAlignment="1">
      <alignment horizontal="center" vertical="center" wrapText="1"/>
    </xf>
    <xf numFmtId="0" fontId="18" fillId="0" borderId="5" xfId="0" applyFont="1" applyBorder="1" applyAlignment="1">
      <alignment wrapText="1"/>
    </xf>
    <xf numFmtId="0" fontId="18" fillId="0" borderId="11" xfId="0" applyFont="1" applyBorder="1" applyAlignment="1">
      <alignment wrapText="1"/>
    </xf>
    <xf numFmtId="0" fontId="17" fillId="0" borderId="46" xfId="0" applyFont="1" applyBorder="1"/>
    <xf numFmtId="0" fontId="18" fillId="0" borderId="12" xfId="0" applyFont="1" applyBorder="1" applyAlignment="1">
      <alignment wrapText="1"/>
    </xf>
    <xf numFmtId="0" fontId="22" fillId="3" borderId="6" xfId="0" applyFont="1" applyFill="1" applyBorder="1" applyAlignment="1">
      <alignment horizontal="center" vertical="center" wrapText="1"/>
    </xf>
    <xf numFmtId="0" fontId="22" fillId="0" borderId="5" xfId="0" applyFont="1" applyBorder="1"/>
    <xf numFmtId="0" fontId="22" fillId="0" borderId="12" xfId="0" applyFont="1" applyBorder="1"/>
    <xf numFmtId="0" fontId="22" fillId="3" borderId="14"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0" borderId="6" xfId="0" applyFont="1" applyBorder="1"/>
    <xf numFmtId="0" fontId="22" fillId="0" borderId="11" xfId="0" applyFont="1" applyBorder="1"/>
    <xf numFmtId="0" fontId="75" fillId="13" borderId="0" xfId="0" applyFont="1" applyFill="1" applyAlignment="1">
      <alignment vertical="center" wrapText="1"/>
    </xf>
    <xf numFmtId="0" fontId="75" fillId="13" borderId="0" xfId="0" applyFont="1" applyFill="1" applyAlignment="1">
      <alignment horizontal="center" vertical="center"/>
    </xf>
    <xf numFmtId="0" fontId="76" fillId="13" borderId="0" xfId="0" applyFont="1" applyFill="1" applyAlignment="1">
      <alignment horizontal="right" vertical="center"/>
    </xf>
    <xf numFmtId="0" fontId="18" fillId="3" borderId="0" xfId="0" applyFont="1" applyFill="1" applyAlignment="1">
      <alignment vertical="center"/>
    </xf>
    <xf numFmtId="167" fontId="18" fillId="3" borderId="0" xfId="0" applyNumberFormat="1" applyFont="1" applyFill="1" applyAlignment="1">
      <alignment horizontal="right" vertical="center"/>
    </xf>
    <xf numFmtId="164" fontId="18" fillId="3" borderId="0" xfId="2" applyNumberFormat="1" applyFont="1" applyFill="1" applyAlignment="1">
      <alignment horizontal="right" vertical="center"/>
    </xf>
    <xf numFmtId="0" fontId="17" fillId="3" borderId="4" xfId="0" applyFont="1" applyFill="1" applyBorder="1" applyAlignment="1">
      <alignment vertical="center"/>
    </xf>
    <xf numFmtId="167" fontId="17" fillId="3" borderId="4" xfId="0" applyNumberFormat="1" applyFont="1" applyFill="1" applyBorder="1" applyAlignment="1">
      <alignment horizontal="right" vertical="center"/>
    </xf>
    <xf numFmtId="164" fontId="17" fillId="3" borderId="4" xfId="2" applyNumberFormat="1" applyFont="1" applyFill="1" applyBorder="1" applyAlignment="1">
      <alignment horizontal="right" vertical="center"/>
    </xf>
    <xf numFmtId="0" fontId="18" fillId="3" borderId="0" xfId="0" applyFont="1" applyFill="1" applyAlignment="1">
      <alignment horizontal="right" vertical="center"/>
    </xf>
    <xf numFmtId="0" fontId="77" fillId="3" borderId="0" xfId="0" applyFont="1" applyFill="1" applyAlignment="1">
      <alignment vertical="center"/>
    </xf>
    <xf numFmtId="0" fontId="78" fillId="3" borderId="47" xfId="0" applyFont="1" applyFill="1" applyBorder="1" applyAlignment="1">
      <alignment horizontal="right" vertical="center"/>
    </xf>
    <xf numFmtId="0" fontId="18" fillId="3" borderId="0" xfId="0" applyFont="1" applyFill="1" applyAlignment="1">
      <alignment vertical="center" wrapText="1"/>
    </xf>
    <xf numFmtId="0" fontId="18" fillId="3" borderId="10" xfId="0" applyFont="1" applyFill="1" applyBorder="1" applyAlignment="1">
      <alignment vertical="center" wrapText="1"/>
    </xf>
    <xf numFmtId="0" fontId="17" fillId="3" borderId="0" xfId="0" applyFont="1" applyFill="1" applyAlignment="1">
      <alignment vertical="center"/>
    </xf>
    <xf numFmtId="0" fontId="18" fillId="3" borderId="0" xfId="0" applyFont="1" applyFill="1" applyAlignment="1">
      <alignment vertical="center" wrapText="1"/>
    </xf>
    <xf numFmtId="0" fontId="17" fillId="3" borderId="4" xfId="0" applyFont="1" applyFill="1" applyBorder="1" applyAlignment="1">
      <alignment vertical="center"/>
    </xf>
    <xf numFmtId="0" fontId="39" fillId="0" borderId="0" xfId="0" applyFont="1" applyAlignment="1">
      <alignment vertical="center"/>
    </xf>
    <xf numFmtId="0" fontId="64" fillId="0" borderId="0" xfId="0" applyFont="1"/>
    <xf numFmtId="0" fontId="64" fillId="0" borderId="17" xfId="0" applyFont="1" applyBorder="1" applyAlignment="1">
      <alignment vertical="center" wrapText="1"/>
    </xf>
    <xf numFmtId="0" fontId="64" fillId="0" borderId="18" xfId="0" applyFont="1" applyBorder="1" applyAlignment="1">
      <alignment vertical="center" wrapText="1"/>
    </xf>
    <xf numFmtId="0" fontId="46" fillId="0" borderId="33" xfId="0" applyFont="1" applyBorder="1" applyAlignment="1">
      <alignment horizontal="center" vertical="center" wrapText="1"/>
    </xf>
    <xf numFmtId="0" fontId="46" fillId="0" borderId="18" xfId="0" applyFont="1" applyBorder="1" applyAlignment="1">
      <alignment horizontal="center" vertical="center" wrapText="1"/>
    </xf>
    <xf numFmtId="0" fontId="64" fillId="0" borderId="39" xfId="0" applyFont="1" applyBorder="1" applyAlignment="1">
      <alignment vertical="center" wrapText="1"/>
    </xf>
    <xf numFmtId="0" fontId="64" fillId="0" borderId="1" xfId="0" applyFont="1" applyBorder="1" applyAlignment="1">
      <alignment vertical="center" wrapText="1"/>
    </xf>
    <xf numFmtId="0" fontId="46" fillId="0" borderId="17"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21"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23" xfId="0" applyFont="1" applyBorder="1" applyAlignment="1">
      <alignment horizontal="center" vertical="center" wrapText="1"/>
    </xf>
    <xf numFmtId="0" fontId="64" fillId="0" borderId="25" xfId="0" applyFont="1" applyBorder="1" applyAlignment="1">
      <alignment vertical="center" wrapText="1"/>
    </xf>
    <xf numFmtId="0" fontId="64" fillId="0" borderId="24" xfId="0" applyFont="1" applyBorder="1" applyAlignment="1">
      <alignment vertical="center" wrapText="1"/>
    </xf>
    <xf numFmtId="0" fontId="46" fillId="0" borderId="25" xfId="0" applyFont="1" applyBorder="1" applyAlignment="1">
      <alignment horizontal="center" vertical="center" wrapText="1"/>
    </xf>
    <xf numFmtId="0" fontId="46" fillId="0" borderId="26"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29" xfId="0" applyFont="1" applyBorder="1" applyAlignment="1">
      <alignment horizontal="center" vertical="center" wrapText="1"/>
    </xf>
    <xf numFmtId="0" fontId="46" fillId="0" borderId="19" xfId="0" applyFont="1" applyBorder="1" applyAlignment="1">
      <alignment horizontal="center" vertical="center" wrapText="1"/>
    </xf>
    <xf numFmtId="0" fontId="64" fillId="0" borderId="43" xfId="0" applyFont="1" applyBorder="1" applyAlignment="1">
      <alignment vertical="center" wrapText="1"/>
    </xf>
    <xf numFmtId="0" fontId="46" fillId="0" borderId="31" xfId="0" applyFont="1" applyBorder="1" applyAlignment="1">
      <alignment vertical="center" wrapText="1"/>
    </xf>
    <xf numFmtId="0" fontId="46" fillId="7" borderId="1" xfId="0" applyFont="1" applyFill="1" applyBorder="1" applyAlignment="1">
      <alignment horizontal="center" vertical="center" wrapText="1"/>
    </xf>
    <xf numFmtId="0" fontId="46" fillId="7" borderId="31" xfId="0" applyFont="1" applyFill="1" applyBorder="1" applyAlignment="1">
      <alignment horizontal="center" vertical="center" wrapText="1"/>
    </xf>
    <xf numFmtId="0" fontId="46" fillId="0" borderId="24" xfId="0" applyFont="1" applyBorder="1" applyAlignment="1">
      <alignment horizontal="center" vertical="center" wrapText="1"/>
    </xf>
    <xf numFmtId="0" fontId="46" fillId="0" borderId="32" xfId="0" applyFont="1" applyBorder="1" applyAlignment="1">
      <alignment horizontal="center" vertical="center" wrapText="1"/>
    </xf>
    <xf numFmtId="49" fontId="46" fillId="0" borderId="33" xfId="0" applyNumberFormat="1" applyFont="1" applyBorder="1" applyAlignment="1">
      <alignment horizontal="center" vertical="center" wrapText="1"/>
    </xf>
    <xf numFmtId="0" fontId="46" fillId="0" borderId="18" xfId="0" applyFont="1" applyBorder="1" applyAlignment="1">
      <alignment vertical="center" wrapText="1"/>
    </xf>
    <xf numFmtId="3" fontId="46" fillId="0" borderId="18" xfId="0" applyNumberFormat="1" applyFont="1" applyBorder="1" applyAlignment="1">
      <alignment vertical="center" wrapText="1"/>
    </xf>
    <xf numFmtId="49" fontId="80" fillId="3" borderId="30" xfId="0" applyNumberFormat="1" applyFont="1" applyFill="1" applyBorder="1" applyAlignment="1">
      <alignment horizontal="center" vertical="center" wrapText="1"/>
    </xf>
    <xf numFmtId="0" fontId="80" fillId="3" borderId="31" xfId="0" applyFont="1" applyFill="1" applyBorder="1" applyAlignment="1">
      <alignment horizontal="left" vertical="center" wrapText="1" indent="1"/>
    </xf>
    <xf numFmtId="0" fontId="80" fillId="3" borderId="31" xfId="0" applyFont="1" applyFill="1" applyBorder="1" applyAlignment="1">
      <alignment vertical="center" wrapText="1"/>
    </xf>
    <xf numFmtId="3" fontId="46" fillId="8" borderId="18" xfId="0" applyNumberFormat="1" applyFont="1" applyFill="1" applyBorder="1" applyAlignment="1">
      <alignment vertical="center" wrapText="1"/>
    </xf>
    <xf numFmtId="49" fontId="46" fillId="0" borderId="30" xfId="0" applyNumberFormat="1" applyFont="1" applyBorder="1" applyAlignment="1">
      <alignment horizontal="center" vertical="center" wrapText="1"/>
    </xf>
    <xf numFmtId="3" fontId="81" fillId="9" borderId="31" xfId="0" applyNumberFormat="1" applyFont="1" applyFill="1" applyBorder="1" applyAlignment="1">
      <alignment vertical="center" wrapText="1"/>
    </xf>
    <xf numFmtId="49" fontId="81" fillId="0" borderId="30" xfId="0" applyNumberFormat="1" applyFont="1" applyBorder="1" applyAlignment="1">
      <alignment horizontal="center" vertical="center" wrapText="1"/>
    </xf>
    <xf numFmtId="0" fontId="81" fillId="0" borderId="31" xfId="0" applyFont="1" applyBorder="1" applyAlignment="1">
      <alignment vertical="center" wrapText="1"/>
    </xf>
    <xf numFmtId="3" fontId="82" fillId="0" borderId="18" xfId="0" applyNumberFormat="1" applyFont="1" applyBorder="1" applyAlignment="1">
      <alignment vertical="center" wrapText="1"/>
    </xf>
    <xf numFmtId="0" fontId="34" fillId="0" borderId="24" xfId="0" applyFont="1" applyBorder="1"/>
    <xf numFmtId="0" fontId="6" fillId="0" borderId="0" xfId="0" applyFont="1" applyAlignment="1">
      <alignment horizontal="left"/>
    </xf>
    <xf numFmtId="0" fontId="83" fillId="0" borderId="15" xfId="0" applyFont="1" applyBorder="1" applyAlignment="1">
      <alignment vertical="center" wrapText="1"/>
    </xf>
    <xf numFmtId="0" fontId="84" fillId="7" borderId="7" xfId="0" applyFont="1" applyFill="1" applyBorder="1" applyAlignment="1">
      <alignment horizontal="center" vertical="center" wrapText="1"/>
    </xf>
    <xf numFmtId="0" fontId="84" fillId="7" borderId="14" xfId="0" applyFont="1" applyFill="1" applyBorder="1" applyAlignment="1">
      <alignment horizontal="center" vertical="center" wrapText="1"/>
    </xf>
    <xf numFmtId="0" fontId="84" fillId="7" borderId="4" xfId="0" applyFont="1" applyFill="1" applyBorder="1" applyAlignment="1">
      <alignment vertical="center" wrapText="1"/>
    </xf>
    <xf numFmtId="0" fontId="57" fillId="0" borderId="34" xfId="0" applyFont="1" applyBorder="1"/>
    <xf numFmtId="0" fontId="83" fillId="0" borderId="12" xfId="0" applyFont="1" applyBorder="1" applyAlignment="1">
      <alignment vertical="center" wrapText="1"/>
    </xf>
    <xf numFmtId="0" fontId="84" fillId="7" borderId="13" xfId="0" applyFont="1" applyFill="1" applyBorder="1" applyAlignment="1">
      <alignment horizontal="center" vertical="center" wrapText="1"/>
    </xf>
    <xf numFmtId="0" fontId="84" fillId="7" borderId="34" xfId="0" applyFont="1" applyFill="1" applyBorder="1" applyAlignment="1">
      <alignment horizontal="center" vertical="center" wrapText="1"/>
    </xf>
    <xf numFmtId="0" fontId="84" fillId="7" borderId="6" xfId="0" applyFont="1" applyFill="1" applyBorder="1" applyAlignment="1">
      <alignment horizontal="center" vertical="center" wrapText="1"/>
    </xf>
    <xf numFmtId="0" fontId="84" fillId="7" borderId="9" xfId="0" applyFont="1" applyFill="1" applyBorder="1" applyAlignment="1">
      <alignment horizontal="center" vertical="center" wrapText="1"/>
    </xf>
    <xf numFmtId="0" fontId="57" fillId="0" borderId="6" xfId="0" applyFont="1" applyBorder="1"/>
    <xf numFmtId="0" fontId="57" fillId="0" borderId="3" xfId="0" applyFont="1" applyBorder="1"/>
    <xf numFmtId="0" fontId="83" fillId="0" borderId="5" xfId="0" applyFont="1" applyBorder="1" applyAlignment="1">
      <alignment vertical="center" wrapText="1"/>
    </xf>
    <xf numFmtId="0" fontId="83" fillId="0" borderId="2" xfId="0" applyFont="1" applyBorder="1" applyAlignment="1">
      <alignment horizontal="center" vertical="center" wrapText="1"/>
    </xf>
    <xf numFmtId="0" fontId="83" fillId="0" borderId="3" xfId="0" applyFont="1" applyBorder="1" applyAlignment="1">
      <alignment horizontal="center" vertical="center" wrapText="1"/>
    </xf>
    <xf numFmtId="0" fontId="83" fillId="0" borderId="2" xfId="0" applyFont="1" applyBorder="1" applyAlignment="1">
      <alignment vertical="center" wrapText="1"/>
    </xf>
    <xf numFmtId="3" fontId="83" fillId="0" borderId="2" xfId="0" applyNumberFormat="1" applyFont="1" applyBorder="1" applyAlignment="1">
      <alignment horizontal="right" vertical="center" wrapText="1"/>
    </xf>
    <xf numFmtId="0" fontId="85" fillId="0" borderId="2" xfId="0" applyFont="1" applyBorder="1" applyAlignment="1">
      <alignment vertical="center" wrapText="1"/>
    </xf>
    <xf numFmtId="0" fontId="59" fillId="0" borderId="2" xfId="0" applyFont="1" applyBorder="1" applyAlignment="1">
      <alignment horizontal="center" vertical="center" wrapText="1"/>
    </xf>
    <xf numFmtId="3" fontId="83" fillId="10" borderId="2" xfId="0" applyNumberFormat="1" applyFont="1" applyFill="1" applyBorder="1" applyAlignment="1">
      <alignment horizontal="right" vertical="center" wrapText="1"/>
    </xf>
    <xf numFmtId="0" fontId="0" fillId="0" borderId="2" xfId="0" applyBorder="1" applyAlignment="1">
      <alignment horizontal="center" vertical="center"/>
    </xf>
    <xf numFmtId="9" fontId="20" fillId="0" borderId="2" xfId="0" applyNumberFormat="1" applyFont="1" applyBorder="1" applyAlignment="1">
      <alignment horizontal="center" vertical="center" wrapText="1"/>
    </xf>
    <xf numFmtId="0" fontId="0" fillId="0" borderId="7" xfId="0" applyBorder="1" applyAlignment="1">
      <alignment horizontal="center" vertical="center" wrapText="1"/>
    </xf>
    <xf numFmtId="0" fontId="4" fillId="0" borderId="4" xfId="0" applyFont="1" applyBorder="1" applyAlignment="1">
      <alignment horizontal="center" vertical="center" wrapText="1"/>
    </xf>
    <xf numFmtId="0" fontId="4" fillId="0" borderId="13" xfId="0" applyFont="1" applyBorder="1" applyAlignment="1">
      <alignment vertical="center" wrapText="1"/>
    </xf>
    <xf numFmtId="9" fontId="4" fillId="0" borderId="5"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0" borderId="6" xfId="0" applyFont="1" applyBorder="1" applyAlignment="1">
      <alignment vertical="center" wrapText="1"/>
    </xf>
    <xf numFmtId="0" fontId="86" fillId="0" borderId="2" xfId="0" applyFont="1" applyBorder="1" applyAlignment="1">
      <alignment horizontal="center" vertical="center" wrapText="1"/>
    </xf>
    <xf numFmtId="3" fontId="25" fillId="0" borderId="2" xfId="0" applyNumberFormat="1" applyFont="1" applyBorder="1" applyAlignment="1">
      <alignment wrapText="1"/>
    </xf>
    <xf numFmtId="0" fontId="41" fillId="0" borderId="2" xfId="0" applyFont="1" applyBorder="1" applyAlignment="1">
      <alignment horizontal="center" vertical="center" wrapText="1"/>
    </xf>
    <xf numFmtId="3" fontId="25" fillId="0" borderId="5" xfId="0" applyNumberFormat="1" applyFont="1" applyBorder="1" applyAlignment="1">
      <alignment wrapText="1"/>
    </xf>
    <xf numFmtId="0" fontId="87" fillId="0" borderId="0" xfId="0" applyFont="1"/>
    <xf numFmtId="0" fontId="89" fillId="0" borderId="2" xfId="0" applyFont="1" applyBorder="1" applyAlignment="1">
      <alignment vertical="center" wrapText="1"/>
    </xf>
    <xf numFmtId="3" fontId="51" fillId="3" borderId="2" xfId="0" applyNumberFormat="1" applyFont="1" applyFill="1" applyBorder="1" applyAlignment="1">
      <alignment vertical="center" wrapText="1"/>
    </xf>
    <xf numFmtId="3" fontId="51" fillId="11" borderId="2" xfId="0" applyNumberFormat="1" applyFont="1" applyFill="1" applyBorder="1" applyAlignment="1">
      <alignment vertical="center" wrapText="1"/>
    </xf>
    <xf numFmtId="3" fontId="52" fillId="3" borderId="2" xfId="0" applyNumberFormat="1" applyFont="1" applyFill="1" applyBorder="1" applyAlignment="1">
      <alignment horizontal="center" vertical="center" wrapText="1"/>
    </xf>
    <xf numFmtId="3" fontId="51" fillId="0" borderId="2" xfId="0" applyNumberFormat="1" applyFont="1" applyBorder="1" applyAlignment="1">
      <alignment vertical="center" wrapText="1"/>
    </xf>
    <xf numFmtId="3" fontId="53" fillId="0" borderId="2" xfId="0" applyNumberFormat="1" applyFont="1" applyBorder="1" applyAlignment="1">
      <alignment vertical="center" wrapText="1"/>
    </xf>
    <xf numFmtId="3" fontId="53" fillId="11" borderId="2" xfId="0" applyNumberFormat="1" applyFont="1" applyFill="1" applyBorder="1" applyAlignment="1">
      <alignment vertical="center" wrapText="1"/>
    </xf>
    <xf numFmtId="3" fontId="52" fillId="0" borderId="2" xfId="0" applyNumberFormat="1" applyFont="1" applyBorder="1" applyAlignment="1">
      <alignment horizontal="center" vertical="center" wrapText="1"/>
    </xf>
    <xf numFmtId="3" fontId="51" fillId="0" borderId="2" xfId="0" applyNumberFormat="1" applyFont="1" applyBorder="1" applyAlignment="1">
      <alignment horizontal="right" vertical="center" wrapText="1"/>
    </xf>
    <xf numFmtId="3" fontId="51" fillId="11" borderId="2" xfId="0" applyNumberFormat="1" applyFont="1" applyFill="1" applyBorder="1" applyAlignment="1">
      <alignment horizontal="right" vertical="center" wrapText="1"/>
    </xf>
    <xf numFmtId="3" fontId="52" fillId="0" borderId="2" xfId="0" applyNumberFormat="1" applyFont="1" applyBorder="1" applyAlignment="1">
      <alignment horizontal="right" vertical="center" wrapText="1"/>
    </xf>
    <xf numFmtId="3" fontId="54" fillId="0" borderId="2" xfId="0" applyNumberFormat="1" applyFont="1" applyBorder="1" applyAlignment="1">
      <alignment horizontal="right" vertical="center" wrapText="1"/>
    </xf>
    <xf numFmtId="0" fontId="51" fillId="0" borderId="13" xfId="0" applyFont="1" applyBorder="1" applyAlignment="1">
      <alignment vertical="center" wrapText="1"/>
    </xf>
    <xf numFmtId="0" fontId="51" fillId="0" borderId="6" xfId="0" applyFont="1" applyBorder="1" applyAlignment="1">
      <alignment vertical="center" wrapText="1"/>
    </xf>
    <xf numFmtId="0" fontId="51" fillId="0" borderId="7" xfId="0" applyFont="1" applyBorder="1" applyAlignment="1">
      <alignment vertical="center" wrapText="1"/>
    </xf>
    <xf numFmtId="0" fontId="52" fillId="0" borderId="2" xfId="0" applyFont="1" applyBorder="1" applyAlignment="1">
      <alignment horizontal="right" vertical="center" wrapText="1"/>
    </xf>
    <xf numFmtId="0" fontId="90" fillId="0" borderId="2" xfId="0" applyFont="1" applyBorder="1" applyAlignment="1">
      <alignment vertical="center" wrapText="1"/>
    </xf>
    <xf numFmtId="0" fontId="91" fillId="0" borderId="0" xfId="0" applyFont="1" applyAlignment="1">
      <alignment horizontal="center" vertical="center"/>
    </xf>
    <xf numFmtId="0" fontId="51" fillId="0" borderId="7" xfId="0" applyFont="1" applyBorder="1" applyAlignment="1">
      <alignment horizontal="center" vertical="center" wrapText="1"/>
    </xf>
    <xf numFmtId="0" fontId="51" fillId="0" borderId="2" xfId="0" applyFont="1" applyBorder="1" applyAlignment="1">
      <alignment horizontal="center" vertical="center"/>
    </xf>
    <xf numFmtId="0" fontId="52" fillId="0" borderId="9" xfId="0" applyFont="1" applyBorder="1" applyAlignment="1">
      <alignment vertical="center" wrapText="1"/>
    </xf>
    <xf numFmtId="0" fontId="51" fillId="0" borderId="13" xfId="0" applyFont="1" applyBorder="1" applyAlignment="1">
      <alignment horizontal="center" vertical="center" wrapText="1"/>
    </xf>
    <xf numFmtId="0" fontId="51" fillId="0" borderId="6" xfId="0" applyFont="1" applyBorder="1" applyAlignment="1">
      <alignment horizontal="center" vertical="center" wrapText="1"/>
    </xf>
    <xf numFmtId="9" fontId="51" fillId="0" borderId="2" xfId="0" applyNumberFormat="1" applyFont="1" applyBorder="1" applyAlignment="1">
      <alignment horizontal="center" vertical="center" wrapText="1"/>
    </xf>
    <xf numFmtId="3" fontId="12" fillId="0" borderId="2" xfId="0" applyNumberFormat="1" applyFont="1" applyBorder="1" applyAlignment="1">
      <alignment vertical="center" wrapText="1"/>
    </xf>
    <xf numFmtId="3" fontId="92" fillId="0" borderId="2" xfId="0" applyNumberFormat="1" applyFont="1" applyBorder="1" applyAlignment="1">
      <alignment vertical="center" wrapText="1"/>
    </xf>
    <xf numFmtId="0" fontId="28" fillId="0" borderId="14" xfId="0" applyFont="1" applyBorder="1"/>
    <xf numFmtId="0" fontId="94" fillId="0" borderId="15" xfId="0" applyFont="1" applyBorder="1" applyAlignment="1">
      <alignment vertical="center" wrapText="1"/>
    </xf>
    <xf numFmtId="0" fontId="94" fillId="0" borderId="2" xfId="0" applyFont="1" applyBorder="1" applyAlignment="1">
      <alignment horizontal="center" vertical="center" wrapText="1"/>
    </xf>
    <xf numFmtId="0" fontId="28" fillId="0" borderId="34" xfId="0" applyFont="1" applyBorder="1"/>
    <xf numFmtId="0" fontId="94" fillId="0" borderId="12" xfId="0" applyFont="1" applyBorder="1" applyAlignment="1">
      <alignment vertical="center" wrapText="1"/>
    </xf>
    <xf numFmtId="0" fontId="94" fillId="0" borderId="2" xfId="0" applyFont="1" applyBorder="1" applyAlignment="1">
      <alignment horizontal="center" vertical="center" wrapText="1"/>
    </xf>
    <xf numFmtId="0" fontId="94" fillId="0" borderId="3" xfId="0" applyFont="1" applyBorder="1" applyAlignment="1">
      <alignment horizontal="center" vertical="center" wrapText="1"/>
    </xf>
    <xf numFmtId="0" fontId="94" fillId="0" borderId="4" xfId="0" applyFont="1" applyBorder="1" applyAlignment="1">
      <alignment horizontal="center" vertical="center" wrapText="1"/>
    </xf>
    <xf numFmtId="0" fontId="94" fillId="0" borderId="5" xfId="0" applyFont="1" applyBorder="1" applyAlignment="1">
      <alignment horizontal="center" vertical="center" wrapText="1"/>
    </xf>
    <xf numFmtId="0" fontId="67" fillId="0" borderId="34" xfId="0" applyFont="1" applyBorder="1"/>
    <xf numFmtId="0" fontId="95" fillId="0" borderId="2" xfId="0" applyFont="1" applyBorder="1" applyAlignment="1">
      <alignment vertical="center" wrapText="1"/>
    </xf>
    <xf numFmtId="0" fontId="67" fillId="0" borderId="9" xfId="0" applyFont="1" applyBorder="1"/>
    <xf numFmtId="0" fontId="95" fillId="0" borderId="2" xfId="0" applyFont="1" applyBorder="1" applyAlignment="1">
      <alignment horizontal="center" vertical="center" wrapText="1"/>
    </xf>
    <xf numFmtId="0" fontId="67" fillId="0" borderId="2" xfId="0" applyFont="1" applyBorder="1" applyAlignment="1">
      <alignment horizontal="center"/>
    </xf>
    <xf numFmtId="0" fontId="95" fillId="0" borderId="2" xfId="0" applyFont="1" applyBorder="1" applyAlignment="1">
      <alignment vertical="center" wrapText="1"/>
    </xf>
    <xf numFmtId="166" fontId="94" fillId="0" borderId="2" xfId="0" applyNumberFormat="1" applyFont="1" applyBorder="1" applyAlignment="1">
      <alignment horizontal="right" vertical="center" wrapText="1"/>
    </xf>
    <xf numFmtId="0" fontId="94" fillId="0" borderId="2" xfId="0" applyFont="1" applyBorder="1" applyAlignment="1">
      <alignment horizontal="right" vertical="center" wrapText="1"/>
    </xf>
    <xf numFmtId="0" fontId="28" fillId="0" borderId="2" xfId="0" applyFont="1" applyBorder="1" applyAlignment="1">
      <alignment horizontal="center"/>
    </xf>
    <xf numFmtId="0" fontId="96" fillId="0" borderId="2" xfId="0" applyFont="1" applyBorder="1" applyAlignment="1">
      <alignment vertical="center" wrapText="1"/>
    </xf>
    <xf numFmtId="166" fontId="96" fillId="0" borderId="2" xfId="0" applyNumberFormat="1" applyFont="1" applyBorder="1" applyAlignment="1">
      <alignment horizontal="right" vertical="center" wrapText="1"/>
    </xf>
    <xf numFmtId="0" fontId="52" fillId="0" borderId="15" xfId="0" applyFont="1" applyBorder="1" applyAlignment="1">
      <alignment horizontal="center" vertical="center"/>
    </xf>
    <xf numFmtId="0" fontId="52" fillId="0" borderId="11" xfId="0" applyFont="1" applyBorder="1" applyAlignment="1">
      <alignment horizontal="center" vertical="center"/>
    </xf>
    <xf numFmtId="0" fontId="51" fillId="0" borderId="14" xfId="0" applyFont="1" applyBorder="1"/>
    <xf numFmtId="0" fontId="51" fillId="0" borderId="15" xfId="0" applyFont="1" applyBorder="1"/>
    <xf numFmtId="166" fontId="7" fillId="0" borderId="2" xfId="6" applyNumberFormat="1" applyFont="1" applyBorder="1" applyAlignment="1">
      <alignment horizontal="center" vertical="center" wrapText="1"/>
    </xf>
    <xf numFmtId="0" fontId="6" fillId="0" borderId="0" xfId="0" applyFont="1" applyAlignment="1">
      <alignment vertical="center"/>
    </xf>
    <xf numFmtId="165" fontId="2" fillId="13" borderId="26" xfId="0" applyNumberFormat="1" applyFont="1" applyFill="1" applyBorder="1" applyAlignment="1">
      <alignment vertical="center"/>
    </xf>
    <xf numFmtId="165" fontId="4" fillId="12" borderId="17" xfId="0" applyNumberFormat="1" applyFont="1" applyFill="1" applyBorder="1" applyAlignment="1">
      <alignment horizontal="center" wrapText="1"/>
    </xf>
    <xf numFmtId="165" fontId="0" fillId="12" borderId="17" xfId="0" applyNumberFormat="1" applyFill="1" applyBorder="1" applyAlignment="1">
      <alignment horizontal="center" vertical="center"/>
    </xf>
    <xf numFmtId="165" fontId="4" fillId="12" borderId="2" xfId="0" applyNumberFormat="1" applyFont="1" applyFill="1" applyBorder="1" applyAlignment="1">
      <alignment horizontal="center" vertical="center"/>
    </xf>
    <xf numFmtId="165" fontId="0" fillId="0" borderId="17" xfId="0" applyNumberFormat="1" applyBorder="1" applyAlignment="1">
      <alignment horizontal="center"/>
    </xf>
    <xf numFmtId="165" fontId="0" fillId="0" borderId="17" xfId="0" applyNumberFormat="1" applyBorder="1" applyAlignment="1">
      <alignment horizontal="center" vertical="center"/>
    </xf>
    <xf numFmtId="165" fontId="0" fillId="0" borderId="33" xfId="0" applyNumberFormat="1" applyBorder="1" applyAlignment="1">
      <alignment horizontal="center" vertical="center"/>
    </xf>
    <xf numFmtId="165" fontId="65" fillId="14" borderId="17" xfId="0" applyNumberFormat="1" applyFont="1" applyFill="1" applyBorder="1" applyAlignment="1">
      <alignment horizontal="center" wrapText="1"/>
    </xf>
    <xf numFmtId="165" fontId="65" fillId="14" borderId="17" xfId="0" applyNumberFormat="1" applyFont="1" applyFill="1" applyBorder="1" applyAlignment="1">
      <alignment horizontal="center" vertical="center" wrapText="1"/>
    </xf>
    <xf numFmtId="165" fontId="0" fillId="7" borderId="17" xfId="0" applyNumberFormat="1" applyFill="1" applyBorder="1" applyAlignment="1">
      <alignment horizontal="center" vertical="center" wrapText="1"/>
    </xf>
    <xf numFmtId="165" fontId="4" fillId="12" borderId="17" xfId="0" applyNumberFormat="1" applyFont="1" applyFill="1" applyBorder="1" applyAlignment="1">
      <alignment horizontal="center" vertical="center" wrapText="1"/>
    </xf>
    <xf numFmtId="165" fontId="65" fillId="14" borderId="33" xfId="0" applyNumberFormat="1" applyFont="1" applyFill="1" applyBorder="1" applyAlignment="1">
      <alignment horizontal="center" vertical="center" wrapText="1"/>
    </xf>
    <xf numFmtId="165" fontId="65" fillId="14" borderId="31" xfId="0" applyNumberFormat="1" applyFont="1" applyFill="1" applyBorder="1" applyAlignment="1">
      <alignment horizontal="center" vertical="center" wrapText="1"/>
    </xf>
    <xf numFmtId="165" fontId="0" fillId="14" borderId="17" xfId="0" applyNumberFormat="1" applyFill="1" applyBorder="1" applyAlignment="1">
      <alignment horizontal="center" vertical="center"/>
    </xf>
    <xf numFmtId="165" fontId="0" fillId="14" borderId="31" xfId="0" applyNumberFormat="1" applyFill="1" applyBorder="1" applyAlignment="1">
      <alignment horizontal="center" vertical="center"/>
    </xf>
    <xf numFmtId="165" fontId="4" fillId="14" borderId="17" xfId="0" applyNumberFormat="1" applyFont="1" applyFill="1" applyBorder="1" applyAlignment="1">
      <alignment horizontal="center" vertical="center" wrapText="1"/>
    </xf>
    <xf numFmtId="165" fontId="0" fillId="14" borderId="33" xfId="0" applyNumberFormat="1" applyFill="1" applyBorder="1" applyAlignment="1">
      <alignment vertical="center" wrapText="1"/>
    </xf>
    <xf numFmtId="165" fontId="0" fillId="7" borderId="48" xfId="0" applyNumberFormat="1" applyFill="1" applyBorder="1" applyAlignment="1">
      <alignment horizontal="center" vertical="center" wrapText="1"/>
    </xf>
    <xf numFmtId="165" fontId="0" fillId="0" borderId="49" xfId="0" applyNumberFormat="1" applyBorder="1" applyAlignment="1">
      <alignment horizontal="center" vertical="center" wrapText="1"/>
    </xf>
    <xf numFmtId="165" fontId="0" fillId="0" borderId="50" xfId="0" applyNumberFormat="1" applyBorder="1" applyAlignment="1">
      <alignment horizontal="center" vertical="center" wrapText="1"/>
    </xf>
    <xf numFmtId="165" fontId="0" fillId="0" borderId="51" xfId="0" applyNumberFormat="1" applyBorder="1" applyAlignment="1">
      <alignment horizontal="center" vertical="center" wrapText="1"/>
    </xf>
    <xf numFmtId="165" fontId="4" fillId="7" borderId="41" xfId="0" quotePrefix="1" applyNumberFormat="1" applyFont="1" applyFill="1" applyBorder="1" applyAlignment="1">
      <alignment horizontal="center" vertical="center" wrapText="1"/>
    </xf>
    <xf numFmtId="3" fontId="4" fillId="0" borderId="2" xfId="0" quotePrefix="1" applyNumberFormat="1" applyFont="1" applyBorder="1"/>
    <xf numFmtId="0" fontId="0" fillId="0" borderId="12" xfId="0" applyBorder="1"/>
    <xf numFmtId="0" fontId="20" fillId="12" borderId="2" xfId="0" applyFont="1" applyFill="1" applyBorder="1" applyAlignment="1">
      <alignment horizontal="center"/>
    </xf>
    <xf numFmtId="0" fontId="20" fillId="12" borderId="2" xfId="0" applyFont="1" applyFill="1" applyBorder="1" applyAlignment="1">
      <alignment horizontal="justify" vertical="center"/>
    </xf>
  </cellXfs>
  <cellStyles count="9">
    <cellStyle name="=C:\WINNT35\SYSTEM32\COMMAND.COM" xfId="3" xr:uid="{4A1C12B2-57EF-4370-8FA2-25A57DB2CF40}"/>
    <cellStyle name="Komma" xfId="1" builtinId="3"/>
    <cellStyle name="Link" xfId="8" builtinId="8"/>
    <cellStyle name="Normal" xfId="0" builtinId="0"/>
    <cellStyle name="Normal 2" xfId="5" xr:uid="{86358CC8-8937-43E4-B1ED-BF685D9E2597}"/>
    <cellStyle name="Normal 3 2" xfId="7" xr:uid="{546EFD49-6AB1-4F25-9368-36874F60FF79}"/>
    <cellStyle name="Normal_20 OPR" xfId="6" xr:uid="{1CDD8AA4-46B6-45A2-8007-5E88B333D96A}"/>
    <cellStyle name="optionalExposure" xfId="4" xr:uid="{BEB9F358-7BBC-4402-A1A6-59621DB52425}"/>
    <cellStyle name="Pro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4533900</xdr:colOff>
      <xdr:row>0</xdr:row>
      <xdr:rowOff>50800</xdr:rowOff>
    </xdr:from>
    <xdr:to>
      <xdr:col>1</xdr:col>
      <xdr:colOff>990599</xdr:colOff>
      <xdr:row>0</xdr:row>
      <xdr:rowOff>323850</xdr:rowOff>
    </xdr:to>
    <xdr:pic>
      <xdr:nvPicPr>
        <xdr:cNvPr id="2" name="Picture 1" descr="AL-logo_1 linie_cmyk">
          <a:extLst>
            <a:ext uri="{FF2B5EF4-FFF2-40B4-BE49-F238E27FC236}">
              <a16:creationId xmlns:a16="http://schemas.microsoft.com/office/drawing/2014/main" id="{78E188CF-97F6-4A64-8DD1-7C0E061277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3900" y="50800"/>
          <a:ext cx="3041649" cy="27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00020.sharepoint.com/sites/ICAAP85/Shared%20Documents/General/Kvartalsvis%20solvensbehovsopg&#248;relse/2022/Q2/Halv&#229;rs%20S&#248;jle%203%20Arbejdsa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blik"/>
      <sheetName val="EU CC1 DK"/>
      <sheetName val="EU CC1 EN"/>
      <sheetName val="EU CC2 DK"/>
      <sheetName val="EU CC2 EN"/>
      <sheetName val="EU CCyB1 DK"/>
      <sheetName val="EU CCyB1 EN"/>
      <sheetName val="EU CCyB2 DK"/>
      <sheetName val="EU CCyB2 EN"/>
      <sheetName val="EU CR1 DK"/>
      <sheetName val="EU CR1 EN"/>
      <sheetName val="EU CR1A DK"/>
      <sheetName val="EU CR1A EN"/>
      <sheetName val="EU CR2 DK"/>
      <sheetName val="EU CR2 EN"/>
      <sheetName val="EU CR3 DK"/>
      <sheetName val="EU CR3 EN"/>
      <sheetName val="EU CR4 DK"/>
      <sheetName val="EU CR4 EN"/>
      <sheetName val="EU CR5 DK"/>
      <sheetName val="EU CR5 EN"/>
      <sheetName val="EU CCR1 DK"/>
      <sheetName val="EU CCR1 EN"/>
      <sheetName val="EU CCR2 DK"/>
      <sheetName val="EU CCR2 EN"/>
      <sheetName val="EU CCR3 DK"/>
      <sheetName val="EU CCR3 EN"/>
      <sheetName val="EU CCR5 DK"/>
      <sheetName val="EU CCR5 EN"/>
      <sheetName val="EU CCR8 DK"/>
      <sheetName val="EU CCR8 EN"/>
      <sheetName val="EU LR1 - LRSum DK"/>
      <sheetName val="EU LR1 - LRSum EN"/>
      <sheetName val="EU LR2 - LRCom DK"/>
      <sheetName val="EU LR2 - LRCom EN"/>
      <sheetName val="EU MR1 DK"/>
      <sheetName val="EU MR1 EN"/>
      <sheetName val="EU IRRBB1 DK"/>
      <sheetName val="EU IRRBB1 EN"/>
      <sheetName val="EU LIQ2 DK"/>
      <sheetName val="EU LIQ2 EN"/>
      <sheetName val="Tekstdel"/>
      <sheetName val="Ansvarsfordeling"/>
    </sheetNames>
    <sheetDataSet>
      <sheetData sheetId="0"/>
      <sheetData sheetId="1">
        <row r="7">
          <cell r="C7">
            <v>2100</v>
          </cell>
        </row>
        <row r="11">
          <cell r="C11">
            <v>6111.6111119999996</v>
          </cell>
        </row>
      </sheetData>
      <sheetData sheetId="2"/>
      <sheetData sheetId="3"/>
      <sheetData sheetId="4"/>
      <sheetData sheetId="5"/>
      <sheetData sheetId="6"/>
      <sheetData sheetId="7"/>
      <sheetData sheetId="8"/>
      <sheetData sheetId="9">
        <row r="8">
          <cell r="C8">
            <v>9521.6755469199998</v>
          </cell>
          <cell r="D8">
            <v>9521.6755469199998</v>
          </cell>
          <cell r="E8">
            <v>0</v>
          </cell>
          <cell r="F8">
            <v>0</v>
          </cell>
          <cell r="G8">
            <v>0</v>
          </cell>
          <cell r="H8">
            <v>0</v>
          </cell>
          <cell r="I8">
            <v>0</v>
          </cell>
          <cell r="J8">
            <v>0</v>
          </cell>
          <cell r="K8">
            <v>0</v>
          </cell>
          <cell r="L8">
            <v>0</v>
          </cell>
          <cell r="M8">
            <v>0</v>
          </cell>
          <cell r="N8">
            <v>0</v>
          </cell>
          <cell r="O8">
            <v>0</v>
          </cell>
          <cell r="P8">
            <v>0</v>
          </cell>
          <cell r="Q8">
            <v>0</v>
          </cell>
        </row>
        <row r="9">
          <cell r="C9">
            <v>42995.24770142429</v>
          </cell>
          <cell r="D9">
            <v>36714.31844770343</v>
          </cell>
          <cell r="E9">
            <v>6158.7053261187048</v>
          </cell>
          <cell r="F9">
            <v>3132.8062990070021</v>
          </cell>
          <cell r="G9">
            <v>128.09637438000001</v>
          </cell>
          <cell r="H9">
            <v>2883.0090183570019</v>
          </cell>
          <cell r="I9">
            <v>334.97200744423236</v>
          </cell>
          <cell r="J9">
            <v>149.25958125503598</v>
          </cell>
          <cell r="K9">
            <v>185.71242618919615</v>
          </cell>
          <cell r="L9">
            <v>862.04141441317893</v>
          </cell>
          <cell r="M9">
            <v>7.5710294625644963</v>
          </cell>
          <cell r="N9">
            <v>849.2241665098004</v>
          </cell>
          <cell r="O9">
            <v>0</v>
          </cell>
          <cell r="P9">
            <v>36202.548323576244</v>
          </cell>
          <cell r="Q9">
            <v>2444.8839157745324</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row>
        <row r="12">
          <cell r="C12">
            <v>619.57195159000003</v>
          </cell>
          <cell r="D12">
            <v>496.08972055999999</v>
          </cell>
          <cell r="E12">
            <v>1.2763514199999999</v>
          </cell>
          <cell r="F12">
            <v>8</v>
          </cell>
          <cell r="G12">
            <v>0</v>
          </cell>
          <cell r="H12">
            <v>8</v>
          </cell>
          <cell r="I12">
            <v>0.19186771426000002</v>
          </cell>
          <cell r="J12">
            <v>0.19103809426000001</v>
          </cell>
          <cell r="K12">
            <v>8.2961999999999999E-4</v>
          </cell>
          <cell r="L12">
            <v>8</v>
          </cell>
          <cell r="M12">
            <v>0</v>
          </cell>
          <cell r="N12">
            <v>8</v>
          </cell>
          <cell r="O12">
            <v>0</v>
          </cell>
          <cell r="P12">
            <v>1.5439999999999998E-5</v>
          </cell>
          <cell r="Q12">
            <v>0</v>
          </cell>
        </row>
        <row r="13">
          <cell r="C13">
            <v>1633.987088304001</v>
          </cell>
          <cell r="D13">
            <v>1410.2397640490001</v>
          </cell>
          <cell r="E13">
            <v>223.747324255</v>
          </cell>
          <cell r="F13">
            <v>127.901745346</v>
          </cell>
          <cell r="G13">
            <v>5.3159899999999996E-3</v>
          </cell>
          <cell r="H13">
            <v>113.09840274599999</v>
          </cell>
          <cell r="I13">
            <v>18.257698194990098</v>
          </cell>
          <cell r="J13">
            <v>9.7296051355060182</v>
          </cell>
          <cell r="K13">
            <v>8.5280930594840694</v>
          </cell>
          <cell r="L13">
            <v>73.638715079472206</v>
          </cell>
          <cell r="M13">
            <v>6.9684E-4</v>
          </cell>
          <cell r="N13">
            <v>73.552714405885993</v>
          </cell>
          <cell r="O13">
            <v>0</v>
          </cell>
          <cell r="P13">
            <v>565.41903355993293</v>
          </cell>
          <cell r="Q13">
            <v>36.439510757920601</v>
          </cell>
        </row>
        <row r="14">
          <cell r="C14">
            <v>15038.877789911547</v>
          </cell>
          <cell r="D14">
            <v>11211.265924800015</v>
          </cell>
          <cell r="E14">
            <v>3827.5938171193607</v>
          </cell>
          <cell r="F14">
            <v>1960.4819211710001</v>
          </cell>
          <cell r="G14">
            <v>77.00544273300001</v>
          </cell>
          <cell r="H14">
            <v>1820.291129638</v>
          </cell>
          <cell r="I14">
            <v>174.39215151424318</v>
          </cell>
          <cell r="J14">
            <v>78.910613042546004</v>
          </cell>
          <cell r="K14">
            <v>95.481538471697405</v>
          </cell>
          <cell r="L14">
            <v>500.81200240228503</v>
          </cell>
          <cell r="M14">
            <v>4.7940878548601198</v>
          </cell>
          <cell r="N14">
            <v>491.25623800059583</v>
          </cell>
          <cell r="O14">
            <v>0</v>
          </cell>
          <cell r="P14">
            <v>12358.34228885873</v>
          </cell>
          <cell r="Q14">
            <v>1644.8038666300101</v>
          </cell>
        </row>
        <row r="16">
          <cell r="C16">
            <v>25702.810871618745</v>
          </cell>
          <cell r="D16">
            <v>23596.723038294418</v>
          </cell>
          <cell r="E16">
            <v>2106.0878333243436</v>
          </cell>
          <cell r="F16">
            <v>1036.4226324900019</v>
          </cell>
          <cell r="G16">
            <v>51.085615656999998</v>
          </cell>
          <cell r="H16">
            <v>941.61948597300193</v>
          </cell>
          <cell r="I16">
            <v>142.1302900207391</v>
          </cell>
          <cell r="J16">
            <v>60.42832498272395</v>
          </cell>
          <cell r="K16">
            <v>81.701965038014691</v>
          </cell>
          <cell r="L16">
            <v>279.59069693142169</v>
          </cell>
          <cell r="M16">
            <v>2.7762447677043771</v>
          </cell>
          <cell r="N16">
            <v>276.41521410331865</v>
          </cell>
          <cell r="O16">
            <v>0</v>
          </cell>
          <cell r="P16">
            <v>23278.786985717579</v>
          </cell>
          <cell r="Q16">
            <v>763.64053838660197</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row>
        <row r="23">
          <cell r="C23">
            <v>40598.970129101333</v>
          </cell>
          <cell r="D23">
            <v>36836.346875231953</v>
          </cell>
          <cell r="E23">
            <v>3760.2037970593128</v>
          </cell>
          <cell r="F23">
            <v>934.39746429950105</v>
          </cell>
          <cell r="G23">
            <v>55.305308659978003</v>
          </cell>
          <cell r="H23">
            <v>813.34302494954409</v>
          </cell>
          <cell r="I23">
            <v>42.49642215565742</v>
          </cell>
          <cell r="J23">
            <v>28.832843235110833</v>
          </cell>
          <cell r="K23">
            <v>13.663578920544575</v>
          </cell>
          <cell r="L23">
            <v>179.16027712956028</v>
          </cell>
          <cell r="M23">
            <v>0.25455971786552128</v>
          </cell>
          <cell r="N23">
            <v>178.79605855985898</v>
          </cell>
          <cell r="P23">
            <v>10103.565838603841</v>
          </cell>
          <cell r="Q23">
            <v>312.34251338738625</v>
          </cell>
        </row>
        <row r="24">
          <cell r="C24">
            <v>0</v>
          </cell>
          <cell r="D24">
            <v>0</v>
          </cell>
          <cell r="E24">
            <v>0</v>
          </cell>
          <cell r="F24">
            <v>0</v>
          </cell>
          <cell r="G24">
            <v>0</v>
          </cell>
          <cell r="H24">
            <v>0</v>
          </cell>
          <cell r="I24">
            <v>0</v>
          </cell>
          <cell r="J24">
            <v>0</v>
          </cell>
          <cell r="K24">
            <v>0</v>
          </cell>
          <cell r="L24">
            <v>0</v>
          </cell>
          <cell r="M24">
            <v>0</v>
          </cell>
          <cell r="N24">
            <v>0</v>
          </cell>
          <cell r="P24">
            <v>0</v>
          </cell>
          <cell r="Q24">
            <v>0</v>
          </cell>
        </row>
        <row r="25">
          <cell r="C25">
            <v>104.62662109</v>
          </cell>
          <cell r="D25">
            <v>104.17276516</v>
          </cell>
          <cell r="E25">
            <v>0.45385593000000002</v>
          </cell>
          <cell r="F25">
            <v>1.94499E-3</v>
          </cell>
          <cell r="G25">
            <v>0</v>
          </cell>
          <cell r="H25">
            <v>1.94499E-3</v>
          </cell>
          <cell r="I25">
            <v>0.30151652000000001</v>
          </cell>
          <cell r="J25">
            <v>0.30151652000000001</v>
          </cell>
          <cell r="K25">
            <v>0</v>
          </cell>
          <cell r="L25">
            <v>0</v>
          </cell>
          <cell r="M25">
            <v>0</v>
          </cell>
          <cell r="N25">
            <v>0</v>
          </cell>
          <cell r="P25">
            <v>0.95330294999999998</v>
          </cell>
          <cell r="Q25">
            <v>0</v>
          </cell>
        </row>
        <row r="26">
          <cell r="C26">
            <v>339.01157802999995</v>
          </cell>
          <cell r="D26">
            <v>339.01157802999995</v>
          </cell>
          <cell r="E26">
            <v>0</v>
          </cell>
          <cell r="F26">
            <v>0</v>
          </cell>
          <cell r="G26">
            <v>0</v>
          </cell>
          <cell r="H26">
            <v>0</v>
          </cell>
          <cell r="I26">
            <v>0.10499605864600001</v>
          </cell>
          <cell r="J26">
            <v>0.10499605864600001</v>
          </cell>
          <cell r="K26">
            <v>0</v>
          </cell>
          <cell r="L26">
            <v>0</v>
          </cell>
          <cell r="M26">
            <v>0</v>
          </cell>
          <cell r="N26">
            <v>0</v>
          </cell>
          <cell r="P26">
            <v>3.82225854</v>
          </cell>
          <cell r="Q26">
            <v>0</v>
          </cell>
        </row>
        <row r="27">
          <cell r="C27">
            <v>1693.5817417899871</v>
          </cell>
          <cell r="D27">
            <v>1608.8382156799919</v>
          </cell>
          <cell r="E27">
            <v>84.743526109995997</v>
          </cell>
          <cell r="F27">
            <v>8.0120550599999998</v>
          </cell>
          <cell r="G27">
            <v>0</v>
          </cell>
          <cell r="H27">
            <v>7.0744671700000001</v>
          </cell>
          <cell r="I27">
            <v>3.5435407158542001</v>
          </cell>
          <cell r="J27">
            <v>3.4751329875342702</v>
          </cell>
          <cell r="K27">
            <v>6.8407728319934399E-2</v>
          </cell>
          <cell r="L27">
            <v>4.6620860269853992</v>
          </cell>
          <cell r="M27">
            <v>0</v>
          </cell>
          <cell r="N27">
            <v>4.6601178100000009</v>
          </cell>
          <cell r="P27">
            <v>192.14010194741999</v>
          </cell>
          <cell r="Q27">
            <v>0.26379619134043697</v>
          </cell>
        </row>
        <row r="28">
          <cell r="C28">
            <v>14427.715899449851</v>
          </cell>
          <cell r="D28">
            <v>12710.571302669929</v>
          </cell>
          <cell r="E28">
            <v>1714.725139969958</v>
          </cell>
          <cell r="F28">
            <v>641.470881499965</v>
          </cell>
          <cell r="G28">
            <v>25.189281069999002</v>
          </cell>
          <cell r="H28">
            <v>595.695909099966</v>
          </cell>
          <cell r="I28">
            <v>24.009835285218799</v>
          </cell>
          <cell r="J28">
            <v>17.179876043956732</v>
          </cell>
          <cell r="K28">
            <v>6.8299592412619701</v>
          </cell>
          <cell r="L28">
            <v>142.94859557988519</v>
          </cell>
          <cell r="M28">
            <v>0.13443966125667839</v>
          </cell>
          <cell r="N28">
            <v>142.7124799570222</v>
          </cell>
          <cell r="P28">
            <v>4289.71107830048</v>
          </cell>
          <cell r="Q28">
            <v>224.50340738582651</v>
          </cell>
        </row>
        <row r="29">
          <cell r="C29">
            <v>24034.034288741499</v>
          </cell>
          <cell r="D29">
            <v>22073.753013692032</v>
          </cell>
          <cell r="E29">
            <v>1960.2812750493588</v>
          </cell>
          <cell r="F29">
            <v>284.91258274953606</v>
          </cell>
          <cell r="G29">
            <v>30.116027589979002</v>
          </cell>
          <cell r="H29">
            <v>210.57070368957801</v>
          </cell>
          <cell r="I29">
            <v>14.536533575938421</v>
          </cell>
          <cell r="J29">
            <v>7.7713216249738295</v>
          </cell>
          <cell r="K29">
            <v>6.7652119509626703</v>
          </cell>
          <cell r="L29">
            <v>31.549595522689689</v>
          </cell>
          <cell r="M29">
            <v>0.12012005660884291</v>
          </cell>
          <cell r="N29">
            <v>31.423460792836789</v>
          </cell>
          <cell r="P29">
            <v>5616.93909686594</v>
          </cell>
          <cell r="Q29">
            <v>87.575309810219309</v>
          </cell>
        </row>
        <row r="30">
          <cell r="C30">
            <v>93115.893377445624</v>
          </cell>
          <cell r="D30">
            <v>83072.340869855383</v>
          </cell>
          <cell r="E30">
            <v>9918.9091231780185</v>
          </cell>
          <cell r="F30">
            <v>4067.2037633065029</v>
          </cell>
          <cell r="G30">
            <v>183.40168303997802</v>
          </cell>
          <cell r="H30">
            <v>3696.352043306546</v>
          </cell>
          <cell r="I30">
            <v>377.46842959988976</v>
          </cell>
          <cell r="J30">
            <v>178.09242449014681</v>
          </cell>
          <cell r="K30">
            <v>199.37600510974073</v>
          </cell>
          <cell r="L30">
            <v>1041.2016915427391</v>
          </cell>
          <cell r="M30">
            <v>7.8255891804300175</v>
          </cell>
          <cell r="N30">
            <v>1028.0202250696593</v>
          </cell>
          <cell r="O30">
            <v>0</v>
          </cell>
          <cell r="P30">
            <v>46306.114162180085</v>
          </cell>
          <cell r="Q30">
            <v>2757.2264291619185</v>
          </cell>
        </row>
      </sheetData>
      <sheetData sheetId="10"/>
      <sheetData sheetId="11"/>
      <sheetData sheetId="12"/>
      <sheetData sheetId="13">
        <row r="7">
          <cell r="C7">
            <v>2796.8792308839998</v>
          </cell>
        </row>
        <row r="8">
          <cell r="C8">
            <v>791.39527962800094</v>
          </cell>
        </row>
        <row r="9">
          <cell r="C9">
            <v>-713.04547861499998</v>
          </cell>
        </row>
        <row r="10">
          <cell r="C10">
            <v>-21.679760469999998</v>
          </cell>
        </row>
        <row r="11">
          <cell r="C11">
            <v>-691.36571814500007</v>
          </cell>
        </row>
        <row r="12">
          <cell r="C12">
            <v>2875.2290318970008</v>
          </cell>
        </row>
      </sheetData>
      <sheetData sheetId="14"/>
      <sheetData sheetId="15">
        <row r="11">
          <cell r="C11">
            <v>10451.303603964501</v>
          </cell>
          <cell r="D11">
            <v>35677.232796914002</v>
          </cell>
          <cell r="E11">
            <v>35677.232796914002</v>
          </cell>
          <cell r="F11">
            <v>0</v>
          </cell>
          <cell r="G11">
            <v>0</v>
          </cell>
        </row>
        <row r="12">
          <cell r="C12">
            <v>0</v>
          </cell>
          <cell r="D12">
            <v>0</v>
          </cell>
          <cell r="E12">
            <v>0</v>
          </cell>
          <cell r="F12">
            <v>0</v>
          </cell>
          <cell r="G12">
            <v>0</v>
          </cell>
        </row>
        <row r="13">
          <cell r="C13">
            <v>10451.303603964501</v>
          </cell>
          <cell r="D13">
            <v>35677.232796914002</v>
          </cell>
          <cell r="E13">
            <v>35677.232796914002</v>
          </cell>
          <cell r="F13">
            <v>0</v>
          </cell>
          <cell r="G13">
            <v>0</v>
          </cell>
        </row>
        <row r="14">
          <cell r="C14">
            <v>934.97088867360935</v>
          </cell>
          <cell r="D14">
            <v>2198.0373758833907</v>
          </cell>
          <cell r="E14">
            <v>2198.0373758833907</v>
          </cell>
          <cell r="F14">
            <v>0</v>
          </cell>
          <cell r="G14">
            <v>0</v>
          </cell>
        </row>
        <row r="15">
          <cell r="C15">
            <v>934.97088867360935</v>
          </cell>
          <cell r="D15">
            <v>2198.0373758833907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BFE5D-7C08-4639-A932-1CE9F2CE752B}">
  <dimension ref="A1:B41"/>
  <sheetViews>
    <sheetView tabSelected="1" zoomScaleNormal="100" workbookViewId="0">
      <selection activeCell="A8" sqref="A8:B8"/>
    </sheetView>
  </sheetViews>
  <sheetFormatPr defaultRowHeight="14.5" x14ac:dyDescent="0.35"/>
  <cols>
    <col min="1" max="1" width="94.26953125" customWidth="1"/>
    <col min="2" max="2" width="14.453125" customWidth="1"/>
  </cols>
  <sheetData>
    <row r="1" spans="1:2" ht="28" customHeight="1" x14ac:dyDescent="0.35"/>
    <row r="2" spans="1:2" ht="26" x14ac:dyDescent="0.35">
      <c r="A2" s="345" t="s">
        <v>690</v>
      </c>
    </row>
    <row r="3" spans="1:2" x14ac:dyDescent="0.35">
      <c r="A3" s="346"/>
    </row>
    <row r="4" spans="1:2" x14ac:dyDescent="0.35">
      <c r="A4" s="347" t="s">
        <v>117</v>
      </c>
    </row>
    <row r="5" spans="1:2" ht="57.5" customHeight="1" x14ac:dyDescent="0.35">
      <c r="A5" s="351" t="s">
        <v>139</v>
      </c>
      <c r="B5" s="351"/>
    </row>
    <row r="6" spans="1:2" ht="49.5" customHeight="1" x14ac:dyDescent="0.35">
      <c r="A6" s="351" t="s">
        <v>140</v>
      </c>
      <c r="B6" s="351"/>
    </row>
    <row r="7" spans="1:2" ht="45" customHeight="1" x14ac:dyDescent="0.35">
      <c r="A7" s="351" t="s">
        <v>141</v>
      </c>
      <c r="B7" s="351"/>
    </row>
    <row r="8" spans="1:2" ht="24.5" customHeight="1" x14ac:dyDescent="0.35">
      <c r="A8" s="351" t="s">
        <v>142</v>
      </c>
      <c r="B8" s="351"/>
    </row>
    <row r="9" spans="1:2" x14ac:dyDescent="0.35">
      <c r="A9" s="352" t="s">
        <v>143</v>
      </c>
      <c r="B9" s="352"/>
    </row>
    <row r="10" spans="1:2" x14ac:dyDescent="0.35">
      <c r="A10" s="352" t="s">
        <v>144</v>
      </c>
      <c r="B10" s="352"/>
    </row>
    <row r="11" spans="1:2" x14ac:dyDescent="0.35">
      <c r="A11" s="352" t="s">
        <v>145</v>
      </c>
      <c r="B11" s="352"/>
    </row>
    <row r="12" spans="1:2" x14ac:dyDescent="0.35">
      <c r="A12" s="352" t="s">
        <v>146</v>
      </c>
      <c r="B12" s="352"/>
    </row>
    <row r="13" spans="1:2" x14ac:dyDescent="0.35">
      <c r="A13" s="348"/>
    </row>
    <row r="14" spans="1:2" ht="24.5" customHeight="1" x14ac:dyDescent="0.35">
      <c r="A14" s="349" t="s">
        <v>370</v>
      </c>
    </row>
    <row r="15" spans="1:2" ht="25.5" customHeight="1" x14ac:dyDescent="0.35">
      <c r="A15" s="350" t="s">
        <v>369</v>
      </c>
    </row>
    <row r="16" spans="1:2" x14ac:dyDescent="0.35">
      <c r="A16" s="346" t="s">
        <v>367</v>
      </c>
      <c r="B16" s="353" t="s">
        <v>368</v>
      </c>
    </row>
    <row r="17" spans="1:2" x14ac:dyDescent="0.35">
      <c r="A17" s="346" t="s">
        <v>264</v>
      </c>
      <c r="B17" s="354" t="s">
        <v>118</v>
      </c>
    </row>
    <row r="18" spans="1:2" x14ac:dyDescent="0.35">
      <c r="A18" s="346" t="s">
        <v>306</v>
      </c>
      <c r="B18" s="354" t="s">
        <v>119</v>
      </c>
    </row>
    <row r="19" spans="1:2" x14ac:dyDescent="0.35">
      <c r="A19" s="346" t="s">
        <v>326</v>
      </c>
      <c r="B19" s="354" t="s">
        <v>120</v>
      </c>
    </row>
    <row r="20" spans="1:2" x14ac:dyDescent="0.35">
      <c r="A20" s="346" t="s">
        <v>331</v>
      </c>
      <c r="B20" s="354" t="s">
        <v>121</v>
      </c>
    </row>
    <row r="21" spans="1:2" ht="24.5" customHeight="1" x14ac:dyDescent="0.35">
      <c r="A21" s="350" t="s">
        <v>371</v>
      </c>
    </row>
    <row r="22" spans="1:2" x14ac:dyDescent="0.35">
      <c r="A22" s="346" t="s">
        <v>397</v>
      </c>
      <c r="B22" s="354" t="s">
        <v>122</v>
      </c>
    </row>
    <row r="23" spans="1:2" x14ac:dyDescent="0.35">
      <c r="A23" s="346" t="s">
        <v>405</v>
      </c>
      <c r="B23" s="354" t="s">
        <v>123</v>
      </c>
    </row>
    <row r="24" spans="1:2" x14ac:dyDescent="0.35">
      <c r="A24" s="346" t="s">
        <v>414</v>
      </c>
      <c r="B24" s="354" t="s">
        <v>124</v>
      </c>
    </row>
    <row r="25" spans="1:2" x14ac:dyDescent="0.35">
      <c r="A25" s="346" t="s">
        <v>424</v>
      </c>
      <c r="B25" s="354" t="s">
        <v>125</v>
      </c>
    </row>
    <row r="26" spans="1:2" x14ac:dyDescent="0.35">
      <c r="A26" s="346" t="s">
        <v>450</v>
      </c>
      <c r="B26" s="354" t="s">
        <v>126</v>
      </c>
    </row>
    <row r="27" spans="1:2" x14ac:dyDescent="0.35">
      <c r="A27" s="346" t="s">
        <v>460</v>
      </c>
      <c r="B27" s="354" t="s">
        <v>127</v>
      </c>
    </row>
    <row r="28" spans="1:2" ht="25" customHeight="1" x14ac:dyDescent="0.35">
      <c r="A28" s="350" t="s">
        <v>530</v>
      </c>
    </row>
    <row r="29" spans="1:2" x14ac:dyDescent="0.35">
      <c r="A29" s="346" t="s">
        <v>483</v>
      </c>
      <c r="B29" s="354" t="s">
        <v>128</v>
      </c>
    </row>
    <row r="30" spans="1:2" x14ac:dyDescent="0.35">
      <c r="A30" s="346" t="s">
        <v>491</v>
      </c>
      <c r="B30" s="354" t="s">
        <v>129</v>
      </c>
    </row>
    <row r="31" spans="1:2" x14ac:dyDescent="0.35">
      <c r="A31" s="346" t="s">
        <v>497</v>
      </c>
      <c r="B31" s="354" t="s">
        <v>130</v>
      </c>
    </row>
    <row r="32" spans="1:2" x14ac:dyDescent="0.35">
      <c r="A32" s="346" t="s">
        <v>514</v>
      </c>
      <c r="B32" s="354" t="s">
        <v>131</v>
      </c>
    </row>
    <row r="33" spans="1:2" x14ac:dyDescent="0.35">
      <c r="A33" s="346" t="s">
        <v>529</v>
      </c>
      <c r="B33" s="354" t="s">
        <v>132</v>
      </c>
    </row>
    <row r="34" spans="1:2" ht="26.5" customHeight="1" x14ac:dyDescent="0.35">
      <c r="A34" s="350" t="s">
        <v>531</v>
      </c>
    </row>
    <row r="35" spans="1:2" x14ac:dyDescent="0.35">
      <c r="A35" s="346" t="s">
        <v>544</v>
      </c>
      <c r="B35" s="354" t="s">
        <v>133</v>
      </c>
    </row>
    <row r="36" spans="1:2" x14ac:dyDescent="0.35">
      <c r="A36" s="346" t="s">
        <v>555</v>
      </c>
      <c r="B36" s="354" t="s">
        <v>134</v>
      </c>
    </row>
    <row r="37" spans="1:2" ht="26.5" customHeight="1" x14ac:dyDescent="0.35">
      <c r="A37" s="350" t="s">
        <v>556</v>
      </c>
    </row>
    <row r="38" spans="1:2" x14ac:dyDescent="0.35">
      <c r="A38" s="346" t="s">
        <v>136</v>
      </c>
      <c r="B38" s="354" t="s">
        <v>135</v>
      </c>
    </row>
    <row r="39" spans="1:2" ht="31.5" customHeight="1" x14ac:dyDescent="0.35">
      <c r="A39" s="350" t="s">
        <v>602</v>
      </c>
    </row>
    <row r="40" spans="1:2" x14ac:dyDescent="0.35">
      <c r="A40" s="346" t="s">
        <v>620</v>
      </c>
      <c r="B40" s="354" t="s">
        <v>137</v>
      </c>
    </row>
    <row r="41" spans="1:2" x14ac:dyDescent="0.35">
      <c r="A41" s="346" t="s">
        <v>689</v>
      </c>
      <c r="B41" s="354" t="s">
        <v>138</v>
      </c>
    </row>
  </sheetData>
  <mergeCells count="8">
    <mergeCell ref="A5:B5"/>
    <mergeCell ref="A6:B6"/>
    <mergeCell ref="A7:B7"/>
    <mergeCell ref="A8:B8"/>
    <mergeCell ref="A9:B9"/>
    <mergeCell ref="A10:B10"/>
    <mergeCell ref="A11:B11"/>
    <mergeCell ref="A12:B12"/>
  </mergeCells>
  <hyperlinks>
    <hyperlink ref="B17" location="'EU CC1 EN'!A1" display="'EU CC1" xr:uid="{ED994D85-9F68-4121-B4C6-85A70F58315B}"/>
    <hyperlink ref="B18" location="'EU CC2 EN'!A1" display="'EU CC2" xr:uid="{A1AFA64E-D0AB-4AED-A5DC-9CF53A1A0370}"/>
    <hyperlink ref="B19" location="'EU CCyB1 EN'!A1" display="'EU CCyB1" xr:uid="{797AEBA7-1701-4D79-BDF7-B6A3CE8AACF6}"/>
    <hyperlink ref="B20" location="'EU CCyB2 EN'!A1" display="'EU CCyB2" xr:uid="{4C3D3279-E2FF-4235-8B93-E36B02DEC4CD}"/>
    <hyperlink ref="B16" location="'Solvency Need'!A1" display="Solvency Need" xr:uid="{E7906B58-C22A-429D-8047-4ECF2ED7848B}"/>
    <hyperlink ref="B22" location="'EU CR1 EN'!A1" display="'EU CR1" xr:uid="{250E9363-B5BB-47B5-AF75-E473FB89783D}"/>
    <hyperlink ref="B23" location="'EU CR1-A EN'!A1" display="'EU CR1-A" xr:uid="{A5CAEA71-4F13-4965-96B1-0EF811BCBB11}"/>
    <hyperlink ref="B24" location="'EU CR2 EN'!A1" display="'EU CR2" xr:uid="{48AEB2CC-8875-45EE-ABEF-6B039C62D1D8}"/>
    <hyperlink ref="B25" location="'EU CR3 EN'!A1" display="'EU CR3" xr:uid="{5A646EBB-0A67-4DAD-A376-ACA24A4497B6}"/>
    <hyperlink ref="B26" location="'EU CR4 EN'!A1" display="'EU CR4" xr:uid="{5B529E81-0182-42AE-8051-5438ED0A7CA5}"/>
    <hyperlink ref="B27" location="'EU CR5 EN'!A1" display="'EU CR5" xr:uid="{9FE520C2-F57D-4E4F-A2E2-5D6FD8E6B764}"/>
    <hyperlink ref="B29" location="'EU CCR1 EN'!A1" display="'EU CCR1" xr:uid="{2199E3AF-E8F5-4931-9F0C-F4B24C7F449C}"/>
    <hyperlink ref="B30" location="'EU CCR2 EN'!A1" display="'EU CCR2" xr:uid="{53C59BFA-25CC-418C-B8D4-51DFBACB7BE9}"/>
    <hyperlink ref="B31" location="'EU CCR3 EN'!A1" display="'EU CCR3" xr:uid="{BDF7A28F-55CB-4147-A251-610743EB8064}"/>
    <hyperlink ref="B32" location="'EU CCR5 EN'!A1" display="'EU CCR5" xr:uid="{741C5881-7C5E-4ABD-8392-E08724931126}"/>
    <hyperlink ref="B33" location="'EU CCR8 EN'!A1" display="'EU CCR8" xr:uid="{66568FD9-F052-4448-A6CF-D7EE81400222}"/>
    <hyperlink ref="B35" location="'EU MR1 EN'!A1" display="'EU MR1" xr:uid="{A192D64C-431A-40F9-805B-92159C010B69}"/>
    <hyperlink ref="B36" location="'EU IRRBB1 EN'!A1" display="'EU IRRBB1" xr:uid="{305348DF-DD94-4F5E-9FE3-4BC8CAB8A60C}"/>
    <hyperlink ref="B38" location="'EU LIQ2 EN'!A1" display="'EU LIQ2" xr:uid="{F268490F-52A8-430A-810E-CD8833339B3D}"/>
    <hyperlink ref="B40" location="'EU LR1 - LRSum EN'!A1" display="'EU LR1 - LRSum" xr:uid="{0083AC10-17E4-48B5-8099-69B796DE3A31}"/>
    <hyperlink ref="B41" location="'EU LR2 - LRCom EN'!A1" display="'EU LR2 - LRCom" xr:uid="{6775CC1B-FC63-4089-9A08-CC96E73BDEF6}"/>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0D48-E154-4971-9A2B-6AC7E866D11D}">
  <sheetPr>
    <pageSetUpPr fitToPage="1"/>
  </sheetPr>
  <dimension ref="A2:G14"/>
  <sheetViews>
    <sheetView workbookViewId="0">
      <selection activeCell="A3" sqref="A3"/>
    </sheetView>
  </sheetViews>
  <sheetFormatPr defaultRowHeight="14.5" x14ac:dyDescent="0.35"/>
  <cols>
    <col min="2" max="2" width="26" customWidth="1"/>
    <col min="3" max="6" width="33.453125" customWidth="1"/>
    <col min="7" max="7" width="27.7265625" customWidth="1"/>
  </cols>
  <sheetData>
    <row r="2" spans="1:7" ht="21" x14ac:dyDescent="0.5">
      <c r="A2" s="449" t="s">
        <v>415</v>
      </c>
      <c r="C2" s="108"/>
      <c r="D2" s="108"/>
      <c r="E2" s="108"/>
      <c r="F2" s="108"/>
    </row>
    <row r="6" spans="1:7" x14ac:dyDescent="0.35">
      <c r="A6" s="164"/>
      <c r="B6" s="450"/>
      <c r="C6" s="451" t="s">
        <v>416</v>
      </c>
      <c r="D6" s="452" t="s">
        <v>417</v>
      </c>
      <c r="E6" s="453"/>
      <c r="F6" s="453"/>
      <c r="G6" s="154"/>
    </row>
    <row r="7" spans="1:7" ht="29" x14ac:dyDescent="0.35">
      <c r="A7" s="454"/>
      <c r="B7" s="455"/>
      <c r="C7" s="456"/>
      <c r="D7" s="457"/>
      <c r="E7" s="451" t="s">
        <v>421</v>
      </c>
      <c r="F7" s="451" t="s">
        <v>422</v>
      </c>
      <c r="G7" s="451" t="s">
        <v>423</v>
      </c>
    </row>
    <row r="8" spans="1:7" x14ac:dyDescent="0.35">
      <c r="A8" s="454"/>
      <c r="B8" s="455"/>
      <c r="C8" s="458"/>
      <c r="D8" s="459"/>
      <c r="E8" s="458"/>
      <c r="F8" s="458"/>
      <c r="G8" s="460"/>
    </row>
    <row r="9" spans="1:7" x14ac:dyDescent="0.35">
      <c r="A9" s="461"/>
      <c r="B9" s="462"/>
      <c r="C9" s="463" t="s">
        <v>22</v>
      </c>
      <c r="D9" s="464" t="s">
        <v>23</v>
      </c>
      <c r="E9" s="463" t="s">
        <v>24</v>
      </c>
      <c r="F9" s="464" t="s">
        <v>34</v>
      </c>
      <c r="G9" s="463" t="s">
        <v>34</v>
      </c>
    </row>
    <row r="10" spans="1:7" x14ac:dyDescent="0.35">
      <c r="A10" s="463">
        <v>1</v>
      </c>
      <c r="B10" s="465" t="s">
        <v>387</v>
      </c>
      <c r="C10" s="466">
        <f>'[1]EU CR3 DK'!C11</f>
        <v>10451.303603964501</v>
      </c>
      <c r="D10" s="466">
        <f>'[1]EU CR3 DK'!D11</f>
        <v>35677.232796914002</v>
      </c>
      <c r="E10" s="466">
        <f>'[1]EU CR3 DK'!E11</f>
        <v>35677.232796914002</v>
      </c>
      <c r="F10" s="466">
        <f>'[1]EU CR3 DK'!F11</f>
        <v>0</v>
      </c>
      <c r="G10" s="466">
        <f>'[1]EU CR3 DK'!G11</f>
        <v>0</v>
      </c>
    </row>
    <row r="11" spans="1:7" x14ac:dyDescent="0.35">
      <c r="A11" s="463">
        <v>2</v>
      </c>
      <c r="B11" s="465" t="s">
        <v>418</v>
      </c>
      <c r="C11" s="466">
        <f>'[1]EU CR3 DK'!C12</f>
        <v>0</v>
      </c>
      <c r="D11" s="466">
        <f>'[1]EU CR3 DK'!D12</f>
        <v>0</v>
      </c>
      <c r="E11" s="466">
        <f>'[1]EU CR3 DK'!E12</f>
        <v>0</v>
      </c>
      <c r="F11" s="466">
        <f>'[1]EU CR3 DK'!F12</f>
        <v>0</v>
      </c>
      <c r="G11" s="466">
        <f>'[1]EU CR3 DK'!G12</f>
        <v>0</v>
      </c>
    </row>
    <row r="12" spans="1:7" x14ac:dyDescent="0.35">
      <c r="A12" s="463">
        <v>3</v>
      </c>
      <c r="B12" s="465" t="s">
        <v>46</v>
      </c>
      <c r="C12" s="466">
        <f>'[1]EU CR3 DK'!C13</f>
        <v>10451.303603964501</v>
      </c>
      <c r="D12" s="466">
        <f>'[1]EU CR3 DK'!D13</f>
        <v>35677.232796914002</v>
      </c>
      <c r="E12" s="466">
        <f>'[1]EU CR3 DK'!E13</f>
        <v>35677.232796914002</v>
      </c>
      <c r="F12" s="466">
        <f>'[1]EU CR3 DK'!F13</f>
        <v>0</v>
      </c>
      <c r="G12" s="466">
        <f>'[1]EU CR3 DK'!G13</f>
        <v>0</v>
      </c>
    </row>
    <row r="13" spans="1:7" ht="29" x14ac:dyDescent="0.35">
      <c r="A13" s="463">
        <v>4</v>
      </c>
      <c r="B13" s="467" t="s">
        <v>419</v>
      </c>
      <c r="C13" s="466">
        <f>'[1]EU CR3 DK'!C14</f>
        <v>934.97088867360935</v>
      </c>
      <c r="D13" s="466">
        <f>'[1]EU CR3 DK'!D14</f>
        <v>2198.0373758833907</v>
      </c>
      <c r="E13" s="466">
        <f>'[1]EU CR3 DK'!E14</f>
        <v>2198.0373758833907</v>
      </c>
      <c r="F13" s="466">
        <f>'[1]EU CR3 DK'!F14</f>
        <v>0</v>
      </c>
      <c r="G13" s="466">
        <f>'[1]EU CR3 DK'!G14</f>
        <v>0</v>
      </c>
    </row>
    <row r="14" spans="1:7" x14ac:dyDescent="0.35">
      <c r="A14" s="468" t="s">
        <v>71</v>
      </c>
      <c r="B14" s="467" t="s">
        <v>420</v>
      </c>
      <c r="C14" s="466">
        <f>'[1]EU CR3 DK'!C15</f>
        <v>934.97088867360935</v>
      </c>
      <c r="D14" s="466">
        <f>'[1]EU CR3 DK'!D15</f>
        <v>2198.0373758833907</v>
      </c>
      <c r="E14" s="469"/>
      <c r="F14" s="469"/>
      <c r="G14" s="469"/>
    </row>
  </sheetData>
  <pageMargins left="0.7" right="0.7" top="0.75" bottom="0.75" header="0.3" footer="0.3"/>
  <pageSetup paperSize="9" scale="4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C76E2-580B-4DDC-8394-587CCC57443A}">
  <sheetPr>
    <pageSetUpPr fitToPage="1"/>
  </sheetPr>
  <dimension ref="A2:G24"/>
  <sheetViews>
    <sheetView workbookViewId="0">
      <selection activeCell="A3" sqref="A3"/>
    </sheetView>
  </sheetViews>
  <sheetFormatPr defaultRowHeight="14.5" x14ac:dyDescent="0.35"/>
  <cols>
    <col min="1" max="1" width="39.26953125" customWidth="1"/>
    <col min="2" max="2" width="15.453125" customWidth="1"/>
    <col min="3" max="5" width="16" customWidth="1"/>
    <col min="6" max="6" width="12.54296875" customWidth="1"/>
    <col min="7" max="7" width="15.7265625" customWidth="1"/>
  </cols>
  <sheetData>
    <row r="2" spans="1:7" ht="18.5" x14ac:dyDescent="0.45">
      <c r="A2" s="2" t="s">
        <v>449</v>
      </c>
    </row>
    <row r="5" spans="1:7" x14ac:dyDescent="0.35">
      <c r="A5" s="110" t="s">
        <v>425</v>
      </c>
      <c r="B5" s="111" t="s">
        <v>426</v>
      </c>
      <c r="C5" s="110"/>
      <c r="D5" s="112" t="s">
        <v>427</v>
      </c>
      <c r="E5" s="111"/>
      <c r="F5" s="113" t="s">
        <v>428</v>
      </c>
      <c r="G5" s="114"/>
    </row>
    <row r="6" spans="1:7" ht="29" x14ac:dyDescent="0.35">
      <c r="A6" s="110"/>
      <c r="B6" s="115" t="s">
        <v>429</v>
      </c>
      <c r="C6" s="116" t="s">
        <v>396</v>
      </c>
      <c r="D6" s="115" t="s">
        <v>429</v>
      </c>
      <c r="E6" s="116" t="s">
        <v>396</v>
      </c>
      <c r="F6" s="117" t="s">
        <v>430</v>
      </c>
      <c r="G6" s="117" t="s">
        <v>431</v>
      </c>
    </row>
    <row r="7" spans="1:7" x14ac:dyDescent="0.35">
      <c r="A7" s="110"/>
      <c r="B7" s="128" t="s">
        <v>22</v>
      </c>
      <c r="C7" s="470" t="s">
        <v>23</v>
      </c>
      <c r="D7" s="470" t="s">
        <v>24</v>
      </c>
      <c r="E7" s="470" t="s">
        <v>34</v>
      </c>
      <c r="F7" s="470" t="s">
        <v>35</v>
      </c>
      <c r="G7" s="470" t="s">
        <v>36</v>
      </c>
    </row>
    <row r="8" spans="1:7" x14ac:dyDescent="0.35">
      <c r="A8" s="118" t="s">
        <v>432</v>
      </c>
      <c r="B8" s="119">
        <f>9112184107/1000000</f>
        <v>9112.1841069999991</v>
      </c>
      <c r="C8" s="119">
        <f>200.612/1000000</f>
        <v>2.00612E-4</v>
      </c>
      <c r="D8" s="119">
        <f>9221792000/1000000</f>
        <v>9221.7919999999995</v>
      </c>
      <c r="E8" s="119">
        <v>0</v>
      </c>
      <c r="F8" s="119">
        <f>1581759/1000000</f>
        <v>1.5817589999999999</v>
      </c>
      <c r="G8" s="120">
        <v>0</v>
      </c>
    </row>
    <row r="9" spans="1:7" x14ac:dyDescent="0.35">
      <c r="A9" s="121" t="s">
        <v>433</v>
      </c>
      <c r="B9" s="122">
        <f>8699302/1000000</f>
        <v>8.6993019999999994</v>
      </c>
      <c r="C9" s="122">
        <f>11716734/1000000</f>
        <v>11.716734000000001</v>
      </c>
      <c r="D9" s="122">
        <f>8818975/1000000</f>
        <v>8.818975</v>
      </c>
      <c r="E9" s="122">
        <f>1424798/1000000</f>
        <v>1.424798</v>
      </c>
      <c r="F9" s="122">
        <v>0</v>
      </c>
      <c r="G9" s="123">
        <v>0</v>
      </c>
    </row>
    <row r="10" spans="1:7" x14ac:dyDescent="0.35">
      <c r="A10" s="121" t="s">
        <v>434</v>
      </c>
      <c r="B10" s="122">
        <f>4.382/1000000</f>
        <v>4.3819999999999997E-6</v>
      </c>
      <c r="C10" s="122">
        <v>0</v>
      </c>
      <c r="D10" s="122">
        <f>4.382/1000000</f>
        <v>4.3819999999999997E-6</v>
      </c>
      <c r="E10" s="122">
        <v>0</v>
      </c>
      <c r="F10" s="122">
        <f>876/1000000</f>
        <v>8.7600000000000004E-4</v>
      </c>
      <c r="G10" s="123">
        <v>0.2</v>
      </c>
    </row>
    <row r="11" spans="1:7" x14ac:dyDescent="0.35">
      <c r="A11" s="121" t="s">
        <v>435</v>
      </c>
      <c r="B11" s="122">
        <v>0</v>
      </c>
      <c r="C11" s="122">
        <v>0</v>
      </c>
      <c r="D11" s="122">
        <v>0</v>
      </c>
      <c r="E11" s="122">
        <v>0</v>
      </c>
      <c r="F11" s="122">
        <v>0</v>
      </c>
      <c r="G11" s="123">
        <v>0</v>
      </c>
    </row>
    <row r="12" spans="1:7" x14ac:dyDescent="0.35">
      <c r="A12" s="121" t="s">
        <v>436</v>
      </c>
      <c r="B12" s="122">
        <v>0</v>
      </c>
      <c r="C12" s="122">
        <v>0</v>
      </c>
      <c r="D12" s="122">
        <v>0</v>
      </c>
      <c r="E12" s="122">
        <v>0</v>
      </c>
      <c r="F12" s="122">
        <v>0</v>
      </c>
      <c r="G12" s="123">
        <v>0</v>
      </c>
    </row>
    <row r="13" spans="1:7" x14ac:dyDescent="0.35">
      <c r="A13" s="121" t="s">
        <v>437</v>
      </c>
      <c r="B13" s="122">
        <f>611872023/1000000</f>
        <v>611.87202300000001</v>
      </c>
      <c r="C13" s="122">
        <f>636601946/1000000</f>
        <v>636.601946</v>
      </c>
      <c r="D13" s="122">
        <f>639912989/1000000</f>
        <v>639.91298900000004</v>
      </c>
      <c r="E13" s="122">
        <f>216388983/1000000</f>
        <v>216.388983</v>
      </c>
      <c r="F13" s="122">
        <f>266087918/1000000</f>
        <v>266.087918</v>
      </c>
      <c r="G13" s="123">
        <v>0.311</v>
      </c>
    </row>
    <row r="14" spans="1:7" x14ac:dyDescent="0.35">
      <c r="A14" s="121" t="s">
        <v>438</v>
      </c>
      <c r="B14" s="122">
        <f>12807991736/1000000</f>
        <v>12807.991736</v>
      </c>
      <c r="C14" s="122">
        <f>8081025993/1000000</f>
        <v>8081.0259930000002</v>
      </c>
      <c r="D14" s="122">
        <f>12442088962/1000000</f>
        <v>12442.088962</v>
      </c>
      <c r="E14" s="122">
        <f>1004720299/1000000</f>
        <v>1004.720299</v>
      </c>
      <c r="F14" s="122">
        <f>12102717228/1000000</f>
        <v>12102.717228</v>
      </c>
      <c r="G14" s="123">
        <v>0.9</v>
      </c>
    </row>
    <row r="15" spans="1:7" x14ac:dyDescent="0.35">
      <c r="A15" s="121" t="s">
        <v>439</v>
      </c>
      <c r="B15" s="122">
        <f>25581246990/1000000</f>
        <v>25581.24699</v>
      </c>
      <c r="C15" s="122">
        <f>23530142585/1000000</f>
        <v>23530.142585000001</v>
      </c>
      <c r="D15" s="122">
        <f>25555478376/1000000</f>
        <v>25555.478375999999</v>
      </c>
      <c r="E15" s="122">
        <f>6661443213/1000000</f>
        <v>6661.4432129999996</v>
      </c>
      <c r="F15" s="122">
        <f>23143951258/1000000</f>
        <v>23143.951258000001</v>
      </c>
      <c r="G15" s="123">
        <v>0.71799999999999997</v>
      </c>
    </row>
    <row r="16" spans="1:7" ht="29" x14ac:dyDescent="0.35">
      <c r="A16" s="121" t="s">
        <v>440</v>
      </c>
      <c r="B16" s="122">
        <f>4636322506/1000000</f>
        <v>4636.3225060000004</v>
      </c>
      <c r="C16" s="122">
        <f>7818624814/1000000</f>
        <v>7818.6248139999998</v>
      </c>
      <c r="D16" s="122">
        <f>4633749897/1000000</f>
        <v>4633.7498969999997</v>
      </c>
      <c r="E16" s="122">
        <f>7762896802/1000000</f>
        <v>7762.8968020000002</v>
      </c>
      <c r="F16" s="122">
        <f>4359860497/1000000</f>
        <v>4359.8604969999997</v>
      </c>
      <c r="G16" s="123">
        <v>0.35199999999999998</v>
      </c>
    </row>
    <row r="17" spans="1:7" x14ac:dyDescent="0.35">
      <c r="A17" s="121" t="s">
        <v>441</v>
      </c>
      <c r="B17" s="122">
        <f>1774857807/1000000</f>
        <v>1774.8578070000001</v>
      </c>
      <c r="C17" s="122">
        <f>813972602/1000000</f>
        <v>813.97260200000005</v>
      </c>
      <c r="D17" s="122">
        <f>1721340555/1000000</f>
        <v>1721.340555</v>
      </c>
      <c r="E17" s="122">
        <f>427024203/1000000</f>
        <v>427.024203</v>
      </c>
      <c r="F17" s="122">
        <f>2695340521/1000000</f>
        <v>2695.3405210000001</v>
      </c>
      <c r="G17" s="123">
        <v>1.2549999999999999</v>
      </c>
    </row>
    <row r="18" spans="1:7" ht="29" x14ac:dyDescent="0.35">
      <c r="A18" s="121" t="s">
        <v>442</v>
      </c>
      <c r="B18" s="122">
        <f>645191429/1000000</f>
        <v>645.19142899999997</v>
      </c>
      <c r="C18" s="122">
        <f>284078254/1000000</f>
        <v>284.07825400000002</v>
      </c>
      <c r="D18" s="122">
        <f>637189590/1000000</f>
        <v>637.18958999999995</v>
      </c>
      <c r="E18" s="122">
        <f>158976776/1000000</f>
        <v>158.976776</v>
      </c>
      <c r="F18" s="122">
        <f>1194249548/1000000</f>
        <v>1194.249548</v>
      </c>
      <c r="G18" s="123">
        <v>1.5</v>
      </c>
    </row>
    <row r="19" spans="1:7" x14ac:dyDescent="0.35">
      <c r="A19" s="121" t="s">
        <v>443</v>
      </c>
      <c r="B19" s="122">
        <v>0</v>
      </c>
      <c r="C19" s="122">
        <v>0</v>
      </c>
      <c r="D19" s="122">
        <v>0</v>
      </c>
      <c r="E19" s="122">
        <v>0</v>
      </c>
      <c r="F19" s="122">
        <v>0</v>
      </c>
      <c r="G19" s="123">
        <v>0</v>
      </c>
    </row>
    <row r="20" spans="1:7" ht="29" x14ac:dyDescent="0.35">
      <c r="A20" s="121" t="s">
        <v>444</v>
      </c>
      <c r="B20" s="122">
        <v>0</v>
      </c>
      <c r="C20" s="122">
        <v>0</v>
      </c>
      <c r="D20" s="122">
        <v>0</v>
      </c>
      <c r="E20" s="122">
        <v>0</v>
      </c>
      <c r="F20" s="122">
        <v>0</v>
      </c>
      <c r="G20" s="123">
        <v>0</v>
      </c>
    </row>
    <row r="21" spans="1:7" x14ac:dyDescent="0.35">
      <c r="A21" s="121" t="s">
        <v>445</v>
      </c>
      <c r="B21" s="122">
        <f>9.543/1000000</f>
        <v>9.5429999999999999E-6</v>
      </c>
      <c r="C21" s="122">
        <v>0</v>
      </c>
      <c r="D21" s="122">
        <f>9.543/10000000</f>
        <v>9.5429999999999991E-7</v>
      </c>
      <c r="E21" s="122">
        <v>0</v>
      </c>
      <c r="F21" s="122">
        <f>119.291/1000000</f>
        <v>1.1929099999999999E-4</v>
      </c>
      <c r="G21" s="123">
        <v>12.5</v>
      </c>
    </row>
    <row r="22" spans="1:7" x14ac:dyDescent="0.35">
      <c r="A22" s="121" t="s">
        <v>446</v>
      </c>
      <c r="B22" s="122">
        <f>1708742212/1000000</f>
        <v>1708.7422120000001</v>
      </c>
      <c r="C22" s="122">
        <v>0</v>
      </c>
      <c r="D22" s="122">
        <f>1708742212/1000000</f>
        <v>1708.7422120000001</v>
      </c>
      <c r="E22" s="122">
        <v>0</v>
      </c>
      <c r="F22" s="122">
        <f>2318587921/1000000</f>
        <v>2318.5879209999998</v>
      </c>
      <c r="G22" s="123">
        <v>1.357</v>
      </c>
    </row>
    <row r="23" spans="1:7" x14ac:dyDescent="0.35">
      <c r="A23" s="121" t="s">
        <v>447</v>
      </c>
      <c r="B23" s="122">
        <f>2914338023/1000000</f>
        <v>2914.3380229999998</v>
      </c>
      <c r="C23" s="122">
        <f>44849872/1000000</f>
        <v>44.849871999999998</v>
      </c>
      <c r="D23" s="122">
        <f>3010617323/1000000</f>
        <v>3010.6173229999999</v>
      </c>
      <c r="E23" s="122">
        <f>44778377/1000000</f>
        <v>44.778376999999999</v>
      </c>
      <c r="F23" s="122">
        <f>2776308071/1000000</f>
        <v>2776.3080709999999</v>
      </c>
      <c r="G23" s="123">
        <v>0.90900000000000003</v>
      </c>
    </row>
    <row r="24" spans="1:7" x14ac:dyDescent="0.35">
      <c r="A24" s="124" t="s">
        <v>448</v>
      </c>
      <c r="B24" s="125">
        <f>59801460061/1000000</f>
        <v>59801.460060999998</v>
      </c>
      <c r="C24" s="125">
        <f>41221213412/1000000</f>
        <v>41221.213411999997</v>
      </c>
      <c r="D24" s="125">
        <f>59579744804/1000000</f>
        <v>59579.744804000002</v>
      </c>
      <c r="E24" s="125">
        <f>16277653451/1000000</f>
        <v>16277.653451</v>
      </c>
      <c r="F24" s="125">
        <f>48858804888/1000000</f>
        <v>48858.804887999999</v>
      </c>
      <c r="G24" s="126">
        <v>0.64400000000000002</v>
      </c>
    </row>
  </sheetData>
  <mergeCells count="4">
    <mergeCell ref="A5:A7"/>
    <mergeCell ref="B5:C5"/>
    <mergeCell ref="D5:E5"/>
    <mergeCell ref="F5:G5"/>
  </mergeCells>
  <pageMargins left="0.7" right="0.7" top="0.75" bottom="0.75" header="0.3" footer="0.3"/>
  <pageSetup paperSize="9" scale="6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97FA2-5C69-4C12-A3AE-FE98B5688AF2}">
  <sheetPr>
    <pageSetUpPr fitToPage="1"/>
  </sheetPr>
  <dimension ref="A2:S24"/>
  <sheetViews>
    <sheetView workbookViewId="0">
      <selection activeCell="C10" sqref="C10"/>
    </sheetView>
  </sheetViews>
  <sheetFormatPr defaultRowHeight="14.5" x14ac:dyDescent="0.35"/>
  <cols>
    <col min="2" max="2" width="30.26953125" customWidth="1"/>
  </cols>
  <sheetData>
    <row r="2" spans="1:19" ht="18.5" x14ac:dyDescent="0.45">
      <c r="A2" s="2" t="s">
        <v>459</v>
      </c>
    </row>
    <row r="5" spans="1:19" x14ac:dyDescent="0.35">
      <c r="A5" s="472"/>
      <c r="B5" s="110" t="s">
        <v>425</v>
      </c>
      <c r="C5" s="112" t="s">
        <v>451</v>
      </c>
      <c r="D5" s="473"/>
      <c r="E5" s="473"/>
      <c r="F5" s="473"/>
      <c r="G5" s="473"/>
      <c r="H5" s="473"/>
      <c r="I5" s="473"/>
      <c r="J5" s="473"/>
      <c r="K5" s="473"/>
      <c r="L5" s="473"/>
      <c r="M5" s="473"/>
      <c r="N5" s="473"/>
      <c r="O5" s="473"/>
      <c r="P5" s="473"/>
      <c r="Q5" s="111"/>
      <c r="R5" s="127" t="s">
        <v>46</v>
      </c>
      <c r="S5" s="127" t="s">
        <v>452</v>
      </c>
    </row>
    <row r="6" spans="1:19" x14ac:dyDescent="0.35">
      <c r="A6" s="474"/>
      <c r="B6" s="110"/>
      <c r="C6" s="475">
        <v>0</v>
      </c>
      <c r="D6" s="476">
        <v>0.02</v>
      </c>
      <c r="E6" s="475">
        <v>0.04</v>
      </c>
      <c r="F6" s="476">
        <v>0.1</v>
      </c>
      <c r="G6" s="476">
        <v>0.2</v>
      </c>
      <c r="H6" s="476">
        <v>0.35</v>
      </c>
      <c r="I6" s="476">
        <v>0.5</v>
      </c>
      <c r="J6" s="476">
        <v>0.7</v>
      </c>
      <c r="K6" s="476">
        <v>0.75</v>
      </c>
      <c r="L6" s="471">
        <v>1</v>
      </c>
      <c r="M6" s="471">
        <v>1.5</v>
      </c>
      <c r="N6" s="471">
        <v>2.5</v>
      </c>
      <c r="O6" s="471">
        <v>3.7</v>
      </c>
      <c r="P6" s="471">
        <v>12.5</v>
      </c>
      <c r="Q6" s="471" t="s">
        <v>453</v>
      </c>
      <c r="R6" s="127"/>
      <c r="S6" s="127"/>
    </row>
    <row r="7" spans="1:19" x14ac:dyDescent="0.35">
      <c r="A7" s="477"/>
      <c r="B7" s="110"/>
      <c r="C7" s="128" t="s">
        <v>22</v>
      </c>
      <c r="D7" s="128" t="s">
        <v>23</v>
      </c>
      <c r="E7" s="128" t="s">
        <v>24</v>
      </c>
      <c r="F7" s="128" t="s">
        <v>34</v>
      </c>
      <c r="G7" s="128" t="s">
        <v>35</v>
      </c>
      <c r="H7" s="128" t="s">
        <v>36</v>
      </c>
      <c r="I7" s="128" t="s">
        <v>37</v>
      </c>
      <c r="J7" s="128" t="s">
        <v>38</v>
      </c>
      <c r="K7" s="128" t="s">
        <v>39</v>
      </c>
      <c r="L7" s="128" t="s">
        <v>40</v>
      </c>
      <c r="M7" s="128" t="s">
        <v>41</v>
      </c>
      <c r="N7" s="128" t="s">
        <v>42</v>
      </c>
      <c r="O7" s="128" t="s">
        <v>43</v>
      </c>
      <c r="P7" s="128" t="s">
        <v>47</v>
      </c>
      <c r="Q7" s="128" t="s">
        <v>48</v>
      </c>
      <c r="R7" s="129" t="s">
        <v>72</v>
      </c>
      <c r="S7" s="129" t="s">
        <v>73</v>
      </c>
    </row>
    <row r="8" spans="1:19" ht="29" x14ac:dyDescent="0.35">
      <c r="A8" s="478">
        <v>1</v>
      </c>
      <c r="B8" s="118" t="s">
        <v>432</v>
      </c>
      <c r="C8" s="130">
        <v>9220.2000000000007</v>
      </c>
      <c r="D8" s="131">
        <v>0</v>
      </c>
      <c r="E8" s="131">
        <v>0</v>
      </c>
      <c r="F8" s="131">
        <v>0</v>
      </c>
      <c r="G8" s="132">
        <v>0</v>
      </c>
      <c r="H8" s="132">
        <v>0</v>
      </c>
      <c r="I8" s="132">
        <v>0</v>
      </c>
      <c r="J8" s="131">
        <v>0</v>
      </c>
      <c r="K8" s="132">
        <v>0</v>
      </c>
      <c r="L8" s="132">
        <v>1.6</v>
      </c>
      <c r="M8" s="132">
        <v>0</v>
      </c>
      <c r="N8" s="132">
        <v>0</v>
      </c>
      <c r="O8" s="131">
        <v>0</v>
      </c>
      <c r="P8" s="131">
        <v>0</v>
      </c>
      <c r="Q8" s="131">
        <v>0</v>
      </c>
      <c r="R8" s="479">
        <f>SUM(C8:Q8)</f>
        <v>9221.8000000000011</v>
      </c>
      <c r="S8" s="134">
        <v>0</v>
      </c>
    </row>
    <row r="9" spans="1:19" ht="29" x14ac:dyDescent="0.35">
      <c r="A9" s="478">
        <v>2</v>
      </c>
      <c r="B9" s="121" t="s">
        <v>433</v>
      </c>
      <c r="C9" s="130">
        <v>10.199999999999999</v>
      </c>
      <c r="D9" s="131">
        <v>0</v>
      </c>
      <c r="E9" s="131">
        <v>0</v>
      </c>
      <c r="F9" s="131">
        <v>0</v>
      </c>
      <c r="G9" s="132">
        <v>0</v>
      </c>
      <c r="H9" s="132">
        <v>0</v>
      </c>
      <c r="I9" s="132">
        <v>0</v>
      </c>
      <c r="J9" s="131">
        <v>0</v>
      </c>
      <c r="K9" s="132">
        <v>0</v>
      </c>
      <c r="L9" s="132">
        <v>0</v>
      </c>
      <c r="M9" s="132">
        <v>0</v>
      </c>
      <c r="N9" s="132">
        <v>0</v>
      </c>
      <c r="O9" s="131">
        <v>0</v>
      </c>
      <c r="P9" s="131">
        <v>0</v>
      </c>
      <c r="Q9" s="131">
        <v>0</v>
      </c>
      <c r="R9" s="479">
        <f t="shared" ref="R9:R23" si="0">SUM(C9:Q9)</f>
        <v>10.199999999999999</v>
      </c>
      <c r="S9" s="134">
        <v>0</v>
      </c>
    </row>
    <row r="10" spans="1:19" x14ac:dyDescent="0.35">
      <c r="A10" s="478">
        <v>3</v>
      </c>
      <c r="B10" s="121" t="s">
        <v>434</v>
      </c>
      <c r="C10" s="130">
        <v>0</v>
      </c>
      <c r="D10" s="131">
        <v>0</v>
      </c>
      <c r="E10" s="131">
        <v>0</v>
      </c>
      <c r="F10" s="131">
        <v>0</v>
      </c>
      <c r="G10" s="132">
        <v>0</v>
      </c>
      <c r="H10" s="132">
        <v>0</v>
      </c>
      <c r="I10" s="132">
        <v>0</v>
      </c>
      <c r="J10" s="131">
        <v>0</v>
      </c>
      <c r="K10" s="132">
        <v>0</v>
      </c>
      <c r="L10" s="132">
        <v>0</v>
      </c>
      <c r="M10" s="132">
        <v>0</v>
      </c>
      <c r="N10" s="132">
        <v>0</v>
      </c>
      <c r="O10" s="131">
        <v>0</v>
      </c>
      <c r="P10" s="131">
        <v>0</v>
      </c>
      <c r="Q10" s="131">
        <v>0</v>
      </c>
      <c r="R10" s="479">
        <f t="shared" si="0"/>
        <v>0</v>
      </c>
      <c r="S10" s="134">
        <v>0</v>
      </c>
    </row>
    <row r="11" spans="1:19" x14ac:dyDescent="0.35">
      <c r="A11" s="478">
        <v>4</v>
      </c>
      <c r="B11" s="121" t="s">
        <v>435</v>
      </c>
      <c r="C11" s="130">
        <v>0</v>
      </c>
      <c r="D11" s="131">
        <v>0</v>
      </c>
      <c r="E11" s="131">
        <v>0</v>
      </c>
      <c r="F11" s="131">
        <v>0</v>
      </c>
      <c r="G11" s="132">
        <v>0</v>
      </c>
      <c r="H11" s="132">
        <v>0</v>
      </c>
      <c r="I11" s="132">
        <v>0</v>
      </c>
      <c r="J11" s="131">
        <v>0</v>
      </c>
      <c r="K11" s="132">
        <v>0</v>
      </c>
      <c r="L11" s="132">
        <v>0</v>
      </c>
      <c r="M11" s="132">
        <v>0</v>
      </c>
      <c r="N11" s="132">
        <v>0</v>
      </c>
      <c r="O11" s="131">
        <v>0</v>
      </c>
      <c r="P11" s="131">
        <v>0</v>
      </c>
      <c r="Q11" s="131">
        <v>0</v>
      </c>
      <c r="R11" s="479">
        <f t="shared" si="0"/>
        <v>0</v>
      </c>
      <c r="S11" s="134">
        <v>0</v>
      </c>
    </row>
    <row r="12" spans="1:19" x14ac:dyDescent="0.35">
      <c r="A12" s="478">
        <v>5</v>
      </c>
      <c r="B12" s="121" t="s">
        <v>436</v>
      </c>
      <c r="C12" s="130">
        <v>0</v>
      </c>
      <c r="D12" s="131">
        <v>0</v>
      </c>
      <c r="E12" s="131">
        <v>0</v>
      </c>
      <c r="F12" s="131">
        <v>0</v>
      </c>
      <c r="G12" s="132">
        <v>0</v>
      </c>
      <c r="H12" s="132">
        <v>0</v>
      </c>
      <c r="I12" s="132">
        <v>0</v>
      </c>
      <c r="J12" s="131">
        <v>0</v>
      </c>
      <c r="K12" s="132">
        <v>0</v>
      </c>
      <c r="L12" s="132">
        <v>0</v>
      </c>
      <c r="M12" s="132">
        <v>0</v>
      </c>
      <c r="N12" s="132">
        <v>0</v>
      </c>
      <c r="O12" s="131">
        <v>0</v>
      </c>
      <c r="P12" s="131">
        <v>0</v>
      </c>
      <c r="Q12" s="131">
        <v>0</v>
      </c>
      <c r="R12" s="479">
        <f t="shared" si="0"/>
        <v>0</v>
      </c>
      <c r="S12" s="134">
        <v>0</v>
      </c>
    </row>
    <row r="13" spans="1:19" x14ac:dyDescent="0.35">
      <c r="A13" s="478">
        <v>6</v>
      </c>
      <c r="B13" s="121" t="s">
        <v>437</v>
      </c>
      <c r="C13" s="130">
        <v>36.9</v>
      </c>
      <c r="D13" s="131">
        <v>0</v>
      </c>
      <c r="E13" s="131">
        <v>0</v>
      </c>
      <c r="F13" s="131">
        <v>0</v>
      </c>
      <c r="G13" s="132">
        <v>488.9</v>
      </c>
      <c r="H13" s="132">
        <v>0</v>
      </c>
      <c r="I13" s="132">
        <v>326.3</v>
      </c>
      <c r="J13" s="131">
        <v>0</v>
      </c>
      <c r="K13" s="132">
        <v>0</v>
      </c>
      <c r="L13" s="132">
        <v>2.4</v>
      </c>
      <c r="M13" s="132">
        <v>1.8</v>
      </c>
      <c r="N13" s="132">
        <v>0</v>
      </c>
      <c r="O13" s="131">
        <v>0</v>
      </c>
      <c r="P13" s="131">
        <v>0</v>
      </c>
      <c r="Q13" s="131">
        <v>0</v>
      </c>
      <c r="R13" s="479">
        <f t="shared" si="0"/>
        <v>856.29999999999984</v>
      </c>
      <c r="S13" s="133">
        <f>313944230/1000000</f>
        <v>313.94423</v>
      </c>
    </row>
    <row r="14" spans="1:19" x14ac:dyDescent="0.35">
      <c r="A14" s="478">
        <v>7</v>
      </c>
      <c r="B14" s="121" t="s">
        <v>438</v>
      </c>
      <c r="C14" s="130">
        <v>0</v>
      </c>
      <c r="D14" s="131">
        <v>0</v>
      </c>
      <c r="E14" s="131">
        <v>0</v>
      </c>
      <c r="F14" s="131">
        <v>0</v>
      </c>
      <c r="G14" s="132">
        <v>0</v>
      </c>
      <c r="H14" s="132">
        <v>0</v>
      </c>
      <c r="I14" s="132">
        <v>0</v>
      </c>
      <c r="J14" s="131">
        <v>0</v>
      </c>
      <c r="K14" s="132">
        <v>0</v>
      </c>
      <c r="L14" s="132">
        <v>13446.8</v>
      </c>
      <c r="M14" s="132">
        <v>0</v>
      </c>
      <c r="N14" s="132">
        <v>0</v>
      </c>
      <c r="O14" s="131">
        <v>0</v>
      </c>
      <c r="P14" s="131">
        <v>0</v>
      </c>
      <c r="Q14" s="131">
        <v>0</v>
      </c>
      <c r="R14" s="479">
        <f t="shared" si="0"/>
        <v>13446.8</v>
      </c>
      <c r="S14" s="133">
        <f>73161657/1000000</f>
        <v>73.161657000000005</v>
      </c>
    </row>
    <row r="15" spans="1:19" x14ac:dyDescent="0.35">
      <c r="A15" s="478">
        <v>8</v>
      </c>
      <c r="B15" s="121" t="s">
        <v>454</v>
      </c>
      <c r="C15" s="130">
        <v>0</v>
      </c>
      <c r="D15" s="131">
        <v>0</v>
      </c>
      <c r="E15" s="131">
        <v>0</v>
      </c>
      <c r="F15" s="131">
        <v>0</v>
      </c>
      <c r="G15" s="132">
        <v>0</v>
      </c>
      <c r="H15" s="132">
        <v>0</v>
      </c>
      <c r="I15" s="132">
        <v>0</v>
      </c>
      <c r="J15" s="131">
        <v>0</v>
      </c>
      <c r="K15" s="132">
        <v>32062</v>
      </c>
      <c r="L15" s="132">
        <v>0</v>
      </c>
      <c r="M15" s="132">
        <v>0</v>
      </c>
      <c r="N15" s="132">
        <v>0</v>
      </c>
      <c r="O15" s="131">
        <v>0</v>
      </c>
      <c r="P15" s="131">
        <v>0</v>
      </c>
      <c r="Q15" s="131">
        <v>0</v>
      </c>
      <c r="R15" s="479">
        <f t="shared" si="0"/>
        <v>32062</v>
      </c>
      <c r="S15" s="134">
        <v>0</v>
      </c>
    </row>
    <row r="16" spans="1:19" ht="29" x14ac:dyDescent="0.35">
      <c r="A16" s="478">
        <v>9</v>
      </c>
      <c r="B16" s="121" t="s">
        <v>455</v>
      </c>
      <c r="C16" s="130">
        <v>0</v>
      </c>
      <c r="D16" s="131">
        <v>0</v>
      </c>
      <c r="E16" s="131">
        <v>0</v>
      </c>
      <c r="F16" s="131">
        <v>0</v>
      </c>
      <c r="G16" s="132">
        <v>0</v>
      </c>
      <c r="H16" s="132">
        <v>11079.9</v>
      </c>
      <c r="I16" s="132">
        <v>1316.8</v>
      </c>
      <c r="J16" s="131">
        <v>0</v>
      </c>
      <c r="K16" s="132">
        <v>0</v>
      </c>
      <c r="L16" s="132">
        <v>0</v>
      </c>
      <c r="M16" s="132">
        <v>-2.4</v>
      </c>
      <c r="N16" s="132">
        <v>0</v>
      </c>
      <c r="O16" s="131">
        <v>0</v>
      </c>
      <c r="P16" s="131">
        <v>0</v>
      </c>
      <c r="Q16" s="131">
        <v>0</v>
      </c>
      <c r="R16" s="479">
        <f t="shared" si="0"/>
        <v>12394.3</v>
      </c>
      <c r="S16" s="134">
        <v>0</v>
      </c>
    </row>
    <row r="17" spans="1:19" x14ac:dyDescent="0.35">
      <c r="A17" s="478">
        <v>10</v>
      </c>
      <c r="B17" s="121" t="s">
        <v>441</v>
      </c>
      <c r="C17" s="130">
        <v>0</v>
      </c>
      <c r="D17" s="131">
        <v>0</v>
      </c>
      <c r="E17" s="131">
        <v>0</v>
      </c>
      <c r="F17" s="131">
        <v>0</v>
      </c>
      <c r="G17" s="132">
        <v>0</v>
      </c>
      <c r="H17" s="132">
        <v>0</v>
      </c>
      <c r="I17" s="132">
        <v>0</v>
      </c>
      <c r="J17" s="131">
        <v>0</v>
      </c>
      <c r="K17" s="132">
        <v>0</v>
      </c>
      <c r="L17" s="132">
        <v>1054.4000000000001</v>
      </c>
      <c r="M17" s="132">
        <v>1096.3</v>
      </c>
      <c r="N17" s="132">
        <v>0</v>
      </c>
      <c r="O17" s="131">
        <v>0</v>
      </c>
      <c r="P17" s="131">
        <v>0</v>
      </c>
      <c r="Q17" s="131">
        <v>0</v>
      </c>
      <c r="R17" s="479">
        <f t="shared" si="0"/>
        <v>2150.6999999999998</v>
      </c>
      <c r="S17" s="134">
        <v>0</v>
      </c>
    </row>
    <row r="18" spans="1:19" ht="29" x14ac:dyDescent="0.35">
      <c r="A18" s="478">
        <v>11</v>
      </c>
      <c r="B18" s="121" t="s">
        <v>442</v>
      </c>
      <c r="C18" s="130">
        <v>0</v>
      </c>
      <c r="D18" s="131">
        <v>0</v>
      </c>
      <c r="E18" s="131">
        <v>0</v>
      </c>
      <c r="F18" s="131">
        <v>0</v>
      </c>
      <c r="G18" s="132">
        <v>0</v>
      </c>
      <c r="H18" s="132">
        <v>0</v>
      </c>
      <c r="I18" s="132">
        <v>0</v>
      </c>
      <c r="J18" s="131">
        <v>0</v>
      </c>
      <c r="K18" s="132">
        <v>0</v>
      </c>
      <c r="L18" s="132">
        <v>0</v>
      </c>
      <c r="M18" s="132">
        <v>796.2</v>
      </c>
      <c r="N18" s="132">
        <v>0</v>
      </c>
      <c r="O18" s="131">
        <v>0</v>
      </c>
      <c r="P18" s="131">
        <v>0</v>
      </c>
      <c r="Q18" s="131">
        <v>0</v>
      </c>
      <c r="R18" s="479">
        <f t="shared" si="0"/>
        <v>796.2</v>
      </c>
      <c r="S18" s="134">
        <v>0</v>
      </c>
    </row>
    <row r="19" spans="1:19" x14ac:dyDescent="0.35">
      <c r="A19" s="478">
        <v>12</v>
      </c>
      <c r="B19" s="121" t="s">
        <v>443</v>
      </c>
      <c r="C19" s="130">
        <v>0</v>
      </c>
      <c r="D19" s="131">
        <v>0</v>
      </c>
      <c r="E19" s="131">
        <v>0</v>
      </c>
      <c r="F19" s="131">
        <v>0</v>
      </c>
      <c r="G19" s="132">
        <v>0</v>
      </c>
      <c r="H19" s="132">
        <v>0</v>
      </c>
      <c r="I19" s="132">
        <v>0</v>
      </c>
      <c r="J19" s="131">
        <v>0</v>
      </c>
      <c r="K19" s="132">
        <v>0</v>
      </c>
      <c r="L19" s="132">
        <v>0</v>
      </c>
      <c r="M19" s="132">
        <v>0</v>
      </c>
      <c r="N19" s="132">
        <v>0</v>
      </c>
      <c r="O19" s="131">
        <v>0</v>
      </c>
      <c r="P19" s="131">
        <v>0</v>
      </c>
      <c r="Q19" s="131">
        <v>0</v>
      </c>
      <c r="R19" s="479">
        <f t="shared" si="0"/>
        <v>0</v>
      </c>
      <c r="S19" s="134">
        <v>0</v>
      </c>
    </row>
    <row r="20" spans="1:19" ht="43.5" x14ac:dyDescent="0.35">
      <c r="A20" s="478">
        <v>13</v>
      </c>
      <c r="B20" s="121" t="s">
        <v>456</v>
      </c>
      <c r="C20" s="130">
        <v>0</v>
      </c>
      <c r="D20" s="131">
        <v>0</v>
      </c>
      <c r="E20" s="131">
        <v>0</v>
      </c>
      <c r="F20" s="131">
        <v>0</v>
      </c>
      <c r="G20" s="132">
        <v>0</v>
      </c>
      <c r="H20" s="132">
        <v>0</v>
      </c>
      <c r="I20" s="132">
        <v>0</v>
      </c>
      <c r="J20" s="131">
        <v>0</v>
      </c>
      <c r="K20" s="132">
        <v>0</v>
      </c>
      <c r="L20" s="132">
        <v>0</v>
      </c>
      <c r="M20" s="132">
        <v>0</v>
      </c>
      <c r="N20" s="132">
        <v>0</v>
      </c>
      <c r="O20" s="131">
        <v>0</v>
      </c>
      <c r="P20" s="131">
        <v>0</v>
      </c>
      <c r="Q20" s="131">
        <v>0</v>
      </c>
      <c r="R20" s="479">
        <f t="shared" si="0"/>
        <v>0</v>
      </c>
      <c r="S20" s="134">
        <v>0</v>
      </c>
    </row>
    <row r="21" spans="1:19" ht="29" x14ac:dyDescent="0.35">
      <c r="A21" s="478">
        <v>14</v>
      </c>
      <c r="B21" s="121" t="s">
        <v>457</v>
      </c>
      <c r="C21" s="130">
        <v>0</v>
      </c>
      <c r="D21" s="131">
        <v>0</v>
      </c>
      <c r="E21" s="131">
        <v>0</v>
      </c>
      <c r="F21" s="131">
        <v>0</v>
      </c>
      <c r="G21" s="132">
        <v>0</v>
      </c>
      <c r="H21" s="132">
        <v>0</v>
      </c>
      <c r="I21" s="132">
        <v>0</v>
      </c>
      <c r="J21" s="131">
        <v>0</v>
      </c>
      <c r="K21" s="132">
        <v>0</v>
      </c>
      <c r="L21" s="132">
        <v>0</v>
      </c>
      <c r="M21" s="132">
        <v>0</v>
      </c>
      <c r="N21" s="132">
        <v>0</v>
      </c>
      <c r="O21" s="131">
        <v>0</v>
      </c>
      <c r="P21" s="131">
        <v>0</v>
      </c>
      <c r="Q21" s="131">
        <v>0</v>
      </c>
      <c r="R21" s="479">
        <f t="shared" si="0"/>
        <v>0</v>
      </c>
      <c r="S21" s="134">
        <v>0</v>
      </c>
    </row>
    <row r="22" spans="1:19" x14ac:dyDescent="0.35">
      <c r="A22" s="478">
        <v>15</v>
      </c>
      <c r="B22" s="121" t="s">
        <v>458</v>
      </c>
      <c r="C22" s="130">
        <v>120.6</v>
      </c>
      <c r="D22" s="131">
        <v>0</v>
      </c>
      <c r="E22" s="131">
        <v>0</v>
      </c>
      <c r="F22" s="131">
        <v>0</v>
      </c>
      <c r="G22" s="132">
        <v>0</v>
      </c>
      <c r="H22" s="132">
        <v>0</v>
      </c>
      <c r="I22" s="132">
        <v>0</v>
      </c>
      <c r="J22" s="131">
        <v>0</v>
      </c>
      <c r="K22" s="132">
        <v>0</v>
      </c>
      <c r="L22" s="132">
        <v>1101.2</v>
      </c>
      <c r="M22" s="132">
        <v>0</v>
      </c>
      <c r="N22" s="132">
        <v>486.9</v>
      </c>
      <c r="O22" s="131">
        <v>0</v>
      </c>
      <c r="P22" s="131">
        <v>0</v>
      </c>
      <c r="Q22" s="131">
        <v>0</v>
      </c>
      <c r="R22" s="479">
        <f t="shared" si="0"/>
        <v>1708.6999999999998</v>
      </c>
      <c r="S22" s="134">
        <v>0</v>
      </c>
    </row>
    <row r="23" spans="1:19" x14ac:dyDescent="0.35">
      <c r="A23" s="478">
        <v>16</v>
      </c>
      <c r="B23" s="121" t="s">
        <v>447</v>
      </c>
      <c r="C23" s="130">
        <v>363.7</v>
      </c>
      <c r="D23" s="131">
        <v>0</v>
      </c>
      <c r="E23" s="131">
        <v>0</v>
      </c>
      <c r="F23" s="131">
        <v>0</v>
      </c>
      <c r="G23" s="132">
        <v>0</v>
      </c>
      <c r="H23" s="132">
        <v>0</v>
      </c>
      <c r="I23" s="132">
        <v>0</v>
      </c>
      <c r="J23" s="131">
        <v>0</v>
      </c>
      <c r="K23" s="132">
        <v>0</v>
      </c>
      <c r="L23" s="132">
        <v>2635.4</v>
      </c>
      <c r="M23" s="132">
        <v>0</v>
      </c>
      <c r="N23" s="132">
        <v>56.4</v>
      </c>
      <c r="O23" s="131">
        <v>0</v>
      </c>
      <c r="P23" s="131">
        <v>0</v>
      </c>
      <c r="Q23" s="131">
        <v>0</v>
      </c>
      <c r="R23" s="479">
        <f t="shared" si="0"/>
        <v>3055.5</v>
      </c>
      <c r="S23" s="134">
        <v>0</v>
      </c>
    </row>
    <row r="24" spans="1:19" x14ac:dyDescent="0.35">
      <c r="A24" s="480">
        <v>17</v>
      </c>
      <c r="B24" s="124" t="s">
        <v>448</v>
      </c>
      <c r="C24" s="481">
        <f>SUM(C8:C23)</f>
        <v>9751.6000000000022</v>
      </c>
      <c r="D24" s="481">
        <f t="shared" ref="D24:S24" si="1">SUM(D8:D23)</f>
        <v>0</v>
      </c>
      <c r="E24" s="481">
        <f t="shared" si="1"/>
        <v>0</v>
      </c>
      <c r="F24" s="481">
        <f t="shared" si="1"/>
        <v>0</v>
      </c>
      <c r="G24" s="481">
        <f t="shared" si="1"/>
        <v>488.9</v>
      </c>
      <c r="H24" s="481">
        <f t="shared" si="1"/>
        <v>11079.9</v>
      </c>
      <c r="I24" s="481">
        <f t="shared" si="1"/>
        <v>1643.1</v>
      </c>
      <c r="J24" s="481">
        <f t="shared" si="1"/>
        <v>0</v>
      </c>
      <c r="K24" s="481">
        <f t="shared" si="1"/>
        <v>32062</v>
      </c>
      <c r="L24" s="481">
        <f t="shared" si="1"/>
        <v>18241.8</v>
      </c>
      <c r="M24" s="481">
        <f t="shared" si="1"/>
        <v>1891.9</v>
      </c>
      <c r="N24" s="481">
        <f t="shared" si="1"/>
        <v>543.29999999999995</v>
      </c>
      <c r="O24" s="481">
        <f t="shared" si="1"/>
        <v>0</v>
      </c>
      <c r="P24" s="481">
        <f t="shared" si="1"/>
        <v>0</v>
      </c>
      <c r="Q24" s="481">
        <f t="shared" si="1"/>
        <v>0</v>
      </c>
      <c r="R24" s="481">
        <f t="shared" si="1"/>
        <v>75702.499999999985</v>
      </c>
      <c r="S24" s="481">
        <f t="shared" si="1"/>
        <v>387.105887</v>
      </c>
    </row>
  </sheetData>
  <mergeCells count="4">
    <mergeCell ref="B5:B7"/>
    <mergeCell ref="C5:Q5"/>
    <mergeCell ref="R5:R6"/>
    <mergeCell ref="S5:S6"/>
  </mergeCells>
  <pageMargins left="0.7" right="0.7" top="0.75" bottom="0.75" header="0.3" footer="0.3"/>
  <pageSetup paperSize="9" scale="7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FD374-A678-497B-B033-79DC3E8C7549}">
  <sheetPr>
    <pageSetUpPr fitToPage="1"/>
  </sheetPr>
  <dimension ref="A2:J17"/>
  <sheetViews>
    <sheetView workbookViewId="0">
      <selection activeCell="A3" sqref="A3"/>
    </sheetView>
  </sheetViews>
  <sheetFormatPr defaultRowHeight="14.5" x14ac:dyDescent="0.35"/>
  <cols>
    <col min="2" max="2" width="41.54296875" customWidth="1"/>
    <col min="3" max="10" width="15" customWidth="1"/>
  </cols>
  <sheetData>
    <row r="2" spans="1:10" ht="18.5" x14ac:dyDescent="0.35">
      <c r="A2" s="139" t="s">
        <v>461</v>
      </c>
      <c r="B2" s="135"/>
    </row>
    <row r="3" spans="1:10" ht="15.5" x14ac:dyDescent="0.35">
      <c r="A3" s="482" t="s">
        <v>462</v>
      </c>
    </row>
    <row r="4" spans="1:10" x14ac:dyDescent="0.35">
      <c r="A4" s="136"/>
      <c r="B4" s="137"/>
      <c r="C4" s="138"/>
      <c r="D4" s="138"/>
      <c r="E4" s="138"/>
      <c r="F4" s="138"/>
      <c r="G4" s="138"/>
      <c r="H4" s="138"/>
      <c r="I4" s="138"/>
      <c r="J4" s="138"/>
    </row>
    <row r="5" spans="1:10" x14ac:dyDescent="0.35">
      <c r="A5" s="155"/>
      <c r="B5" s="141"/>
      <c r="C5" s="142" t="s">
        <v>22</v>
      </c>
      <c r="D5" s="142" t="s">
        <v>23</v>
      </c>
      <c r="E5" s="142" t="s">
        <v>24</v>
      </c>
      <c r="F5" s="142" t="s">
        <v>34</v>
      </c>
      <c r="G5" s="142" t="s">
        <v>35</v>
      </c>
      <c r="H5" s="142" t="s">
        <v>36</v>
      </c>
      <c r="I5" s="142" t="s">
        <v>37</v>
      </c>
      <c r="J5" s="142" t="s">
        <v>38</v>
      </c>
    </row>
    <row r="6" spans="1:10" ht="52" x14ac:dyDescent="0.35">
      <c r="A6" s="155"/>
      <c r="B6" s="141" t="s">
        <v>148</v>
      </c>
      <c r="C6" s="142" t="s">
        <v>463</v>
      </c>
      <c r="D6" s="142" t="s">
        <v>464</v>
      </c>
      <c r="E6" s="142" t="s">
        <v>465</v>
      </c>
      <c r="F6" s="142" t="s">
        <v>480</v>
      </c>
      <c r="G6" s="142" t="s">
        <v>466</v>
      </c>
      <c r="H6" s="142" t="s">
        <v>467</v>
      </c>
      <c r="I6" s="142" t="s">
        <v>468</v>
      </c>
      <c r="J6" s="142" t="s">
        <v>469</v>
      </c>
    </row>
    <row r="7" spans="1:10" x14ac:dyDescent="0.35">
      <c r="A7" s="142" t="s">
        <v>481</v>
      </c>
      <c r="B7" s="151" t="s">
        <v>470</v>
      </c>
      <c r="C7" s="484"/>
      <c r="D7" s="484"/>
      <c r="E7" s="485"/>
      <c r="F7" s="486" t="s">
        <v>74</v>
      </c>
      <c r="G7" s="486"/>
      <c r="H7" s="487"/>
      <c r="I7" s="487"/>
      <c r="J7" s="487"/>
    </row>
    <row r="8" spans="1:10" x14ac:dyDescent="0.35">
      <c r="A8" s="142" t="s">
        <v>482</v>
      </c>
      <c r="B8" s="151" t="s">
        <v>471</v>
      </c>
      <c r="C8" s="488"/>
      <c r="D8" s="488"/>
      <c r="E8" s="489"/>
      <c r="F8" s="490" t="s">
        <v>74</v>
      </c>
      <c r="G8" s="490"/>
      <c r="H8" s="488"/>
      <c r="I8" s="488"/>
      <c r="J8" s="488"/>
    </row>
    <row r="9" spans="1:10" x14ac:dyDescent="0.35">
      <c r="A9" s="142">
        <v>1</v>
      </c>
      <c r="B9" s="151" t="s">
        <v>472</v>
      </c>
      <c r="C9" s="491">
        <v>82.09206691</v>
      </c>
      <c r="D9" s="491">
        <v>342.75851849999998</v>
      </c>
      <c r="E9" s="492"/>
      <c r="F9" s="493"/>
      <c r="G9" s="493">
        <v>1021.0290778899999</v>
      </c>
      <c r="H9" s="491">
        <v>778.27129903999992</v>
      </c>
      <c r="I9" s="491">
        <v>778.27129903999992</v>
      </c>
      <c r="J9" s="491">
        <v>242.57046369709593</v>
      </c>
    </row>
    <row r="10" spans="1:10" x14ac:dyDescent="0.35">
      <c r="A10" s="142">
        <v>2</v>
      </c>
      <c r="B10" s="141" t="s">
        <v>473</v>
      </c>
      <c r="C10" s="492"/>
      <c r="D10" s="492"/>
      <c r="E10" s="491"/>
      <c r="F10" s="491"/>
      <c r="G10" s="491"/>
      <c r="H10" s="491"/>
      <c r="I10" s="491"/>
      <c r="J10" s="491"/>
    </row>
    <row r="11" spans="1:10" x14ac:dyDescent="0.35">
      <c r="A11" s="142" t="s">
        <v>75</v>
      </c>
      <c r="B11" s="483" t="s">
        <v>474</v>
      </c>
      <c r="C11" s="492"/>
      <c r="D11" s="492"/>
      <c r="E11" s="491"/>
      <c r="F11" s="492"/>
      <c r="G11" s="491"/>
      <c r="H11" s="491"/>
      <c r="I11" s="491"/>
      <c r="J11" s="491"/>
    </row>
    <row r="12" spans="1:10" ht="26" x14ac:dyDescent="0.35">
      <c r="A12" s="142" t="s">
        <v>76</v>
      </c>
      <c r="B12" s="483" t="s">
        <v>475</v>
      </c>
      <c r="C12" s="492"/>
      <c r="D12" s="492"/>
      <c r="E12" s="491"/>
      <c r="F12" s="492"/>
      <c r="G12" s="491"/>
      <c r="H12" s="491"/>
      <c r="I12" s="491"/>
      <c r="J12" s="491"/>
    </row>
    <row r="13" spans="1:10" x14ac:dyDescent="0.35">
      <c r="A13" s="142" t="s">
        <v>77</v>
      </c>
      <c r="B13" s="483" t="s">
        <v>476</v>
      </c>
      <c r="C13" s="492"/>
      <c r="D13" s="492"/>
      <c r="E13" s="491"/>
      <c r="F13" s="492"/>
      <c r="G13" s="491"/>
      <c r="H13" s="491"/>
      <c r="I13" s="491"/>
      <c r="J13" s="491"/>
    </row>
    <row r="14" spans="1:10" x14ac:dyDescent="0.35">
      <c r="A14" s="142">
        <v>3</v>
      </c>
      <c r="B14" s="141" t="s">
        <v>477</v>
      </c>
      <c r="C14" s="492"/>
      <c r="D14" s="492"/>
      <c r="E14" s="492"/>
      <c r="F14" s="492"/>
      <c r="G14" s="491"/>
      <c r="H14" s="491"/>
      <c r="I14" s="491"/>
      <c r="J14" s="491"/>
    </row>
    <row r="15" spans="1:10" x14ac:dyDescent="0.35">
      <c r="A15" s="142">
        <v>4</v>
      </c>
      <c r="B15" s="141" t="s">
        <v>478</v>
      </c>
      <c r="C15" s="492"/>
      <c r="D15" s="492"/>
      <c r="E15" s="492"/>
      <c r="F15" s="492"/>
      <c r="G15" s="491">
        <v>925.55310810782407</v>
      </c>
      <c r="H15" s="491">
        <v>161.34083233685226</v>
      </c>
      <c r="I15" s="491">
        <v>161.34083233685226</v>
      </c>
      <c r="J15" s="491">
        <v>119.41072419454822</v>
      </c>
    </row>
    <row r="16" spans="1:10" x14ac:dyDescent="0.35">
      <c r="A16" s="142">
        <v>5</v>
      </c>
      <c r="B16" s="141" t="s">
        <v>479</v>
      </c>
      <c r="C16" s="492"/>
      <c r="D16" s="492"/>
      <c r="E16" s="492"/>
      <c r="F16" s="492"/>
      <c r="G16" s="491"/>
      <c r="H16" s="491"/>
      <c r="I16" s="491"/>
      <c r="J16" s="491"/>
    </row>
    <row r="17" spans="1:10" x14ac:dyDescent="0.35">
      <c r="A17" s="142">
        <v>6</v>
      </c>
      <c r="B17" s="165" t="s">
        <v>46</v>
      </c>
      <c r="C17" s="492"/>
      <c r="D17" s="492"/>
      <c r="E17" s="492"/>
      <c r="F17" s="492"/>
      <c r="G17" s="494">
        <f>G9+G15</f>
        <v>1946.5821859978241</v>
      </c>
      <c r="H17" s="494">
        <f>H9+H15</f>
        <v>939.61213137685218</v>
      </c>
      <c r="I17" s="494">
        <f>I9+I15</f>
        <v>939.61213137685218</v>
      </c>
      <c r="J17" s="494">
        <f>J9+J15</f>
        <v>361.98118789164414</v>
      </c>
    </row>
  </sheetData>
  <pageMargins left="0.7" right="0.7" top="0.75" bottom="0.75" header="0.3" footer="0.3"/>
  <pageSetup paperSize="9" scale="7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ACC9-51F3-46B0-B17F-9EA25E0DFE7A}">
  <sheetPr>
    <pageSetUpPr fitToPage="1"/>
  </sheetPr>
  <dimension ref="A2:D16"/>
  <sheetViews>
    <sheetView workbookViewId="0">
      <selection activeCell="A2" sqref="A2"/>
    </sheetView>
  </sheetViews>
  <sheetFormatPr defaultRowHeight="14.5" x14ac:dyDescent="0.35"/>
  <cols>
    <col min="2" max="2" width="41.54296875" customWidth="1"/>
    <col min="3" max="3" width="12.81640625" customWidth="1"/>
    <col min="4" max="4" width="15" customWidth="1"/>
  </cols>
  <sheetData>
    <row r="2" spans="1:4" ht="18.5" x14ac:dyDescent="0.35">
      <c r="A2" s="145" t="s">
        <v>484</v>
      </c>
    </row>
    <row r="3" spans="1:4" x14ac:dyDescent="0.35">
      <c r="A3" s="144"/>
      <c r="C3" s="144"/>
      <c r="D3" s="144"/>
    </row>
    <row r="4" spans="1:4" ht="15.5" x14ac:dyDescent="0.35">
      <c r="A4" s="497"/>
      <c r="B4" s="146" t="s">
        <v>462</v>
      </c>
      <c r="C4" s="155" t="s">
        <v>22</v>
      </c>
      <c r="D4" s="155" t="s">
        <v>23</v>
      </c>
    </row>
    <row r="5" spans="1:4" x14ac:dyDescent="0.35">
      <c r="A5" s="495"/>
      <c r="B5" s="147"/>
      <c r="C5" s="148" t="s">
        <v>468</v>
      </c>
      <c r="D5" s="149" t="s">
        <v>469</v>
      </c>
    </row>
    <row r="6" spans="1:4" x14ac:dyDescent="0.35">
      <c r="A6" s="496"/>
      <c r="B6" s="150"/>
      <c r="C6" s="148"/>
      <c r="D6" s="149"/>
    </row>
    <row r="7" spans="1:4" x14ac:dyDescent="0.35">
      <c r="A7" s="141">
        <v>1</v>
      </c>
      <c r="B7" s="151" t="s">
        <v>485</v>
      </c>
      <c r="C7" s="141"/>
      <c r="D7" s="141"/>
    </row>
    <row r="8" spans="1:4" x14ac:dyDescent="0.35">
      <c r="A8" s="141">
        <v>2</v>
      </c>
      <c r="B8" s="151" t="s">
        <v>486</v>
      </c>
      <c r="C8" s="140"/>
      <c r="D8" s="141"/>
    </row>
    <row r="9" spans="1:4" ht="26" x14ac:dyDescent="0.35">
      <c r="A9" s="141">
        <v>3</v>
      </c>
      <c r="B9" s="151" t="s">
        <v>487</v>
      </c>
      <c r="C9" s="140"/>
      <c r="D9" s="141"/>
    </row>
    <row r="10" spans="1:4" x14ac:dyDescent="0.35">
      <c r="A10" s="141">
        <v>4</v>
      </c>
      <c r="B10" s="151" t="s">
        <v>488</v>
      </c>
      <c r="C10" s="143">
        <v>721.42182331000004</v>
      </c>
      <c r="D10" s="143">
        <v>121.8026766905122</v>
      </c>
    </row>
    <row r="11" spans="1:4" ht="26" x14ac:dyDescent="0.35">
      <c r="A11" s="498" t="s">
        <v>78</v>
      </c>
      <c r="B11" s="499" t="s">
        <v>490</v>
      </c>
      <c r="C11" s="141"/>
      <c r="D11" s="141"/>
    </row>
    <row r="12" spans="1:4" ht="49" customHeight="1" x14ac:dyDescent="0.35">
      <c r="A12" s="141">
        <v>5</v>
      </c>
      <c r="B12" s="152" t="s">
        <v>489</v>
      </c>
      <c r="C12" s="153">
        <v>721.42182331000004</v>
      </c>
      <c r="D12" s="153">
        <v>121.8026766905122</v>
      </c>
    </row>
    <row r="14" spans="1:4" x14ac:dyDescent="0.35">
      <c r="C14" t="s">
        <v>80</v>
      </c>
      <c r="D14" t="s">
        <v>80</v>
      </c>
    </row>
    <row r="16" spans="1:4" x14ac:dyDescent="0.35">
      <c r="C16" t="s">
        <v>80</v>
      </c>
    </row>
  </sheetData>
  <mergeCells count="3">
    <mergeCell ref="B5:B6"/>
    <mergeCell ref="C5:C6"/>
    <mergeCell ref="D5:D6"/>
  </mergeCells>
  <pageMargins left="0.7" right="0.7" top="0.75" bottom="0.75" header="0.3" footer="0.3"/>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8258-71A0-4645-873E-7F90D885F2F2}">
  <sheetPr>
    <pageSetUpPr fitToPage="1"/>
  </sheetPr>
  <dimension ref="A2:N18"/>
  <sheetViews>
    <sheetView workbookViewId="0">
      <selection activeCell="A3" sqref="A3"/>
    </sheetView>
  </sheetViews>
  <sheetFormatPr defaultRowHeight="14.5" x14ac:dyDescent="0.35"/>
  <cols>
    <col min="2" max="2" width="51.7265625" customWidth="1"/>
    <col min="3" max="3" width="7.1796875" customWidth="1"/>
    <col min="4" max="4" width="6.81640625" customWidth="1"/>
    <col min="5" max="5" width="6.08984375" customWidth="1"/>
    <col min="6" max="6" width="6.54296875" customWidth="1"/>
    <col min="7" max="7" width="7.36328125" customWidth="1"/>
    <col min="8" max="8" width="7.6328125" customWidth="1"/>
    <col min="9" max="10" width="7.453125" customWidth="1"/>
    <col min="11" max="11" width="7.1796875" customWidth="1"/>
    <col min="12" max="12" width="6.6328125" customWidth="1"/>
    <col min="13" max="13" width="7.36328125" customWidth="1"/>
  </cols>
  <sheetData>
    <row r="2" spans="1:14" s="109" customFormat="1" ht="21" x14ac:dyDescent="0.5">
      <c r="A2" s="161" t="s">
        <v>492</v>
      </c>
    </row>
    <row r="3" spans="1:14" ht="15.5" x14ac:dyDescent="0.35">
      <c r="A3" s="482" t="s">
        <v>462</v>
      </c>
    </row>
    <row r="4" spans="1:14" x14ac:dyDescent="0.35">
      <c r="A4" s="500"/>
    </row>
    <row r="5" spans="1:14" x14ac:dyDescent="0.35">
      <c r="A5" s="501"/>
      <c r="B5" s="502" t="s">
        <v>493</v>
      </c>
      <c r="C5" s="149" t="s">
        <v>451</v>
      </c>
      <c r="D5" s="149"/>
      <c r="E5" s="149"/>
      <c r="F5" s="149"/>
      <c r="G5" s="149"/>
      <c r="H5" s="149"/>
      <c r="I5" s="149"/>
      <c r="J5" s="149"/>
      <c r="K5" s="149"/>
      <c r="L5" s="149"/>
      <c r="M5" s="149"/>
      <c r="N5" s="503"/>
    </row>
    <row r="6" spans="1:14" x14ac:dyDescent="0.35">
      <c r="A6" s="504"/>
      <c r="B6" s="502"/>
      <c r="C6" s="155" t="s">
        <v>22</v>
      </c>
      <c r="D6" s="155" t="s">
        <v>23</v>
      </c>
      <c r="E6" s="155" t="s">
        <v>24</v>
      </c>
      <c r="F6" s="155" t="s">
        <v>34</v>
      </c>
      <c r="G6" s="155" t="s">
        <v>35</v>
      </c>
      <c r="H6" s="155" t="s">
        <v>36</v>
      </c>
      <c r="I6" s="155" t="s">
        <v>37</v>
      </c>
      <c r="J6" s="155" t="s">
        <v>38</v>
      </c>
      <c r="K6" s="155" t="s">
        <v>39</v>
      </c>
      <c r="L6" s="155" t="s">
        <v>40</v>
      </c>
      <c r="M6" s="155" t="s">
        <v>41</v>
      </c>
      <c r="N6" s="142" t="s">
        <v>42</v>
      </c>
    </row>
    <row r="7" spans="1:14" ht="43.5" x14ac:dyDescent="0.35">
      <c r="A7" s="505"/>
      <c r="B7" s="502"/>
      <c r="C7" s="506">
        <v>0</v>
      </c>
      <c r="D7" s="506">
        <v>0.02</v>
      </c>
      <c r="E7" s="506">
        <v>0.04</v>
      </c>
      <c r="F7" s="506">
        <v>0.1</v>
      </c>
      <c r="G7" s="506">
        <v>0.2</v>
      </c>
      <c r="H7" s="506">
        <v>0.5</v>
      </c>
      <c r="I7" s="506">
        <v>0.7</v>
      </c>
      <c r="J7" s="506">
        <v>0.75</v>
      </c>
      <c r="K7" s="506">
        <v>1</v>
      </c>
      <c r="L7" s="506">
        <v>1.5</v>
      </c>
      <c r="M7" s="155" t="s">
        <v>453</v>
      </c>
      <c r="N7" s="468" t="s">
        <v>496</v>
      </c>
    </row>
    <row r="8" spans="1:14" x14ac:dyDescent="0.35">
      <c r="A8" s="155">
        <v>1</v>
      </c>
      <c r="B8" s="160" t="s">
        <v>494</v>
      </c>
      <c r="C8" s="156">
        <v>0</v>
      </c>
      <c r="D8" s="157">
        <v>0</v>
      </c>
      <c r="E8" s="157">
        <v>0</v>
      </c>
      <c r="F8" s="157">
        <v>0</v>
      </c>
      <c r="G8" s="157">
        <v>0</v>
      </c>
      <c r="H8" s="157">
        <v>0</v>
      </c>
      <c r="I8" s="157">
        <v>0</v>
      </c>
      <c r="J8" s="157">
        <v>0</v>
      </c>
      <c r="K8" s="157">
        <v>0</v>
      </c>
      <c r="L8" s="157">
        <v>0</v>
      </c>
      <c r="M8" s="157">
        <v>0</v>
      </c>
      <c r="N8" s="507">
        <f>SUM(C8:M8)</f>
        <v>0</v>
      </c>
    </row>
    <row r="9" spans="1:14" x14ac:dyDescent="0.35">
      <c r="A9" s="155">
        <v>2</v>
      </c>
      <c r="B9" s="160" t="s">
        <v>495</v>
      </c>
      <c r="C9" s="158">
        <v>0</v>
      </c>
      <c r="D9" s="159">
        <v>0</v>
      </c>
      <c r="E9" s="159">
        <v>0</v>
      </c>
      <c r="F9" s="159">
        <v>0</v>
      </c>
      <c r="G9" s="159">
        <v>0</v>
      </c>
      <c r="H9" s="159">
        <v>0</v>
      </c>
      <c r="I9" s="159">
        <v>0</v>
      </c>
      <c r="J9" s="159">
        <v>0</v>
      </c>
      <c r="K9" s="159">
        <v>0</v>
      </c>
      <c r="L9" s="159">
        <v>0</v>
      </c>
      <c r="M9" s="159">
        <v>0</v>
      </c>
      <c r="N9" s="507">
        <f t="shared" ref="N9:N17" si="0">SUM(C9:M9)</f>
        <v>0</v>
      </c>
    </row>
    <row r="10" spans="1:14" x14ac:dyDescent="0.35">
      <c r="A10" s="155">
        <v>3</v>
      </c>
      <c r="B10" s="160" t="s">
        <v>434</v>
      </c>
      <c r="C10" s="158">
        <v>0</v>
      </c>
      <c r="D10" s="159">
        <v>0</v>
      </c>
      <c r="E10" s="159">
        <v>0</v>
      </c>
      <c r="F10" s="159">
        <v>0</v>
      </c>
      <c r="G10" s="159">
        <v>0</v>
      </c>
      <c r="H10" s="159">
        <v>0</v>
      </c>
      <c r="I10" s="159">
        <v>0</v>
      </c>
      <c r="J10" s="159">
        <v>0</v>
      </c>
      <c r="K10" s="159">
        <v>0</v>
      </c>
      <c r="L10" s="159">
        <v>0</v>
      </c>
      <c r="M10" s="159">
        <v>0</v>
      </c>
      <c r="N10" s="507">
        <f t="shared" si="0"/>
        <v>0</v>
      </c>
    </row>
    <row r="11" spans="1:14" x14ac:dyDescent="0.35">
      <c r="A11" s="155">
        <v>4</v>
      </c>
      <c r="B11" s="160" t="s">
        <v>435</v>
      </c>
      <c r="C11" s="158">
        <v>0</v>
      </c>
      <c r="D11" s="159">
        <v>0</v>
      </c>
      <c r="E11" s="159">
        <v>0</v>
      </c>
      <c r="F11" s="159">
        <v>0</v>
      </c>
      <c r="G11" s="159">
        <v>0</v>
      </c>
      <c r="H11" s="159">
        <v>0</v>
      </c>
      <c r="I11" s="159">
        <v>0</v>
      </c>
      <c r="J11" s="159">
        <v>0</v>
      </c>
      <c r="K11" s="159">
        <v>0</v>
      </c>
      <c r="L11" s="159">
        <v>0</v>
      </c>
      <c r="M11" s="159">
        <v>0</v>
      </c>
      <c r="N11" s="507">
        <f t="shared" si="0"/>
        <v>0</v>
      </c>
    </row>
    <row r="12" spans="1:14" x14ac:dyDescent="0.35">
      <c r="A12" s="155">
        <v>5</v>
      </c>
      <c r="B12" s="160" t="s">
        <v>436</v>
      </c>
      <c r="C12" s="158">
        <v>0</v>
      </c>
      <c r="D12" s="159">
        <v>0</v>
      </c>
      <c r="E12" s="159">
        <v>0</v>
      </c>
      <c r="F12" s="159">
        <v>0</v>
      </c>
      <c r="G12" s="159">
        <v>0</v>
      </c>
      <c r="H12" s="159">
        <v>0</v>
      </c>
      <c r="I12" s="159">
        <v>0</v>
      </c>
      <c r="J12" s="159">
        <v>0</v>
      </c>
      <c r="K12" s="159">
        <v>0</v>
      </c>
      <c r="L12" s="159">
        <v>0</v>
      </c>
      <c r="M12" s="159">
        <v>0</v>
      </c>
      <c r="N12" s="507">
        <f t="shared" si="0"/>
        <v>0</v>
      </c>
    </row>
    <row r="13" spans="1:14" x14ac:dyDescent="0.35">
      <c r="A13" s="155">
        <v>6</v>
      </c>
      <c r="B13" s="160" t="s">
        <v>437</v>
      </c>
      <c r="C13" s="158">
        <v>0</v>
      </c>
      <c r="D13" s="159">
        <v>0</v>
      </c>
      <c r="E13" s="159">
        <v>0</v>
      </c>
      <c r="F13" s="159">
        <v>0</v>
      </c>
      <c r="G13" s="159">
        <f>551398396/1000000</f>
        <v>551.39839600000005</v>
      </c>
      <c r="H13" s="159">
        <f>166659228/1000000</f>
        <v>166.65922800000001</v>
      </c>
      <c r="I13" s="159">
        <v>0</v>
      </c>
      <c r="J13" s="159">
        <v>0</v>
      </c>
      <c r="K13" s="159">
        <v>0</v>
      </c>
      <c r="L13" s="159">
        <v>0</v>
      </c>
      <c r="M13" s="159">
        <v>0</v>
      </c>
      <c r="N13" s="507">
        <f t="shared" si="0"/>
        <v>718.05762400000003</v>
      </c>
    </row>
    <row r="14" spans="1:14" x14ac:dyDescent="0.35">
      <c r="A14" s="155">
        <v>7</v>
      </c>
      <c r="B14" s="160" t="s">
        <v>438</v>
      </c>
      <c r="C14" s="158">
        <v>0</v>
      </c>
      <c r="D14" s="159">
        <v>0</v>
      </c>
      <c r="E14" s="159">
        <v>0</v>
      </c>
      <c r="F14" s="159">
        <v>0</v>
      </c>
      <c r="G14" s="159">
        <v>0</v>
      </c>
      <c r="H14" s="159">
        <v>0</v>
      </c>
      <c r="I14" s="159">
        <v>0</v>
      </c>
      <c r="J14" s="159">
        <v>0</v>
      </c>
      <c r="K14" s="159">
        <f>47647173/1000000</f>
        <v>47.647173000000002</v>
      </c>
      <c r="L14" s="159">
        <v>0</v>
      </c>
      <c r="M14" s="159">
        <v>0</v>
      </c>
      <c r="N14" s="507">
        <f t="shared" si="0"/>
        <v>47.647173000000002</v>
      </c>
    </row>
    <row r="15" spans="1:14" x14ac:dyDescent="0.35">
      <c r="A15" s="155">
        <v>8</v>
      </c>
      <c r="B15" s="160" t="s">
        <v>439</v>
      </c>
      <c r="C15" s="158">
        <v>0</v>
      </c>
      <c r="D15" s="159">
        <v>0</v>
      </c>
      <c r="E15" s="159">
        <v>0</v>
      </c>
      <c r="F15" s="159">
        <v>0</v>
      </c>
      <c r="G15" s="159">
        <v>0</v>
      </c>
      <c r="H15" s="159">
        <v>0</v>
      </c>
      <c r="I15" s="159">
        <v>0</v>
      </c>
      <c r="J15" s="159">
        <f>171550257/1000000</f>
        <v>171.55025699999999</v>
      </c>
      <c r="K15" s="159">
        <v>0</v>
      </c>
      <c r="L15" s="159">
        <v>0</v>
      </c>
      <c r="M15" s="159">
        <v>0</v>
      </c>
      <c r="N15" s="507">
        <f t="shared" si="0"/>
        <v>171.55025699999999</v>
      </c>
    </row>
    <row r="16" spans="1:14" x14ac:dyDescent="0.35">
      <c r="A16" s="155">
        <v>9</v>
      </c>
      <c r="B16" s="160" t="s">
        <v>444</v>
      </c>
      <c r="C16" s="158">
        <v>0</v>
      </c>
      <c r="D16" s="159">
        <v>0</v>
      </c>
      <c r="E16" s="159">
        <v>0</v>
      </c>
      <c r="F16" s="159">
        <v>0</v>
      </c>
      <c r="G16" s="159">
        <v>0</v>
      </c>
      <c r="H16" s="159">
        <v>0</v>
      </c>
      <c r="I16" s="159">
        <v>0</v>
      </c>
      <c r="J16" s="159">
        <v>0</v>
      </c>
      <c r="K16" s="159">
        <v>0</v>
      </c>
      <c r="L16" s="159">
        <v>0</v>
      </c>
      <c r="M16" s="159">
        <v>0</v>
      </c>
      <c r="N16" s="507">
        <f t="shared" si="0"/>
        <v>0</v>
      </c>
    </row>
    <row r="17" spans="1:14" x14ac:dyDescent="0.35">
      <c r="A17" s="155">
        <v>10</v>
      </c>
      <c r="B17" s="160" t="s">
        <v>447</v>
      </c>
      <c r="C17" s="158">
        <v>0</v>
      </c>
      <c r="D17" s="159">
        <v>0</v>
      </c>
      <c r="E17" s="159">
        <v>0</v>
      </c>
      <c r="F17" s="159">
        <v>0</v>
      </c>
      <c r="G17" s="159">
        <v>0</v>
      </c>
      <c r="H17" s="159">
        <v>0</v>
      </c>
      <c r="I17" s="159">
        <v>0</v>
      </c>
      <c r="J17" s="159">
        <v>0</v>
      </c>
      <c r="K17" s="159">
        <v>0</v>
      </c>
      <c r="L17" s="159">
        <f>2357078/1000000</f>
        <v>2.357078</v>
      </c>
      <c r="M17" s="159">
        <v>0</v>
      </c>
      <c r="N17" s="507">
        <f t="shared" si="0"/>
        <v>2.357078</v>
      </c>
    </row>
    <row r="18" spans="1:14" x14ac:dyDescent="0.35">
      <c r="A18" s="155">
        <v>11</v>
      </c>
      <c r="B18" s="176" t="s">
        <v>311</v>
      </c>
      <c r="C18" s="508">
        <f>SUM(C8:C17)</f>
        <v>0</v>
      </c>
      <c r="D18" s="508">
        <f t="shared" ref="D18:N18" si="1">SUM(D8:D17)</f>
        <v>0</v>
      </c>
      <c r="E18" s="508">
        <f t="shared" si="1"/>
        <v>0</v>
      </c>
      <c r="F18" s="508">
        <f t="shared" si="1"/>
        <v>0</v>
      </c>
      <c r="G18" s="508">
        <f t="shared" si="1"/>
        <v>551.39839600000005</v>
      </c>
      <c r="H18" s="508">
        <f t="shared" si="1"/>
        <v>166.65922800000001</v>
      </c>
      <c r="I18" s="508">
        <f t="shared" si="1"/>
        <v>0</v>
      </c>
      <c r="J18" s="508">
        <f t="shared" si="1"/>
        <v>171.55025699999999</v>
      </c>
      <c r="K18" s="508">
        <f t="shared" si="1"/>
        <v>47.647173000000002</v>
      </c>
      <c r="L18" s="508">
        <f t="shared" si="1"/>
        <v>2.357078</v>
      </c>
      <c r="M18" s="508">
        <f t="shared" si="1"/>
        <v>0</v>
      </c>
      <c r="N18" s="508">
        <f t="shared" si="1"/>
        <v>939.61213199999997</v>
      </c>
    </row>
  </sheetData>
  <mergeCells count="2">
    <mergeCell ref="B5:B7"/>
    <mergeCell ref="C5:M5"/>
  </mergeCells>
  <pageMargins left="0.7" right="0.7" top="0.75" bottom="0.75" header="0.3" footer="0.3"/>
  <pageSetup paperSize="9" scale="8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EBC07-4B1B-48F4-87F1-C9054E1ADCEF}">
  <sheetPr>
    <pageSetUpPr fitToPage="1"/>
  </sheetPr>
  <dimension ref="A2:J17"/>
  <sheetViews>
    <sheetView workbookViewId="0">
      <selection activeCell="A3" sqref="A3"/>
    </sheetView>
  </sheetViews>
  <sheetFormatPr defaultRowHeight="14.5" x14ac:dyDescent="0.35"/>
  <cols>
    <col min="2" max="2" width="32.81640625" customWidth="1"/>
    <col min="3" max="10" width="14.26953125" customWidth="1"/>
  </cols>
  <sheetData>
    <row r="2" spans="1:10" ht="18.5" x14ac:dyDescent="0.45">
      <c r="A2" s="162" t="s">
        <v>498</v>
      </c>
    </row>
    <row r="3" spans="1:10" ht="20" x14ac:dyDescent="0.4">
      <c r="A3" s="482" t="s">
        <v>499</v>
      </c>
      <c r="B3" s="163"/>
    </row>
    <row r="5" spans="1:10" x14ac:dyDescent="0.35">
      <c r="A5" s="509"/>
      <c r="B5" s="510"/>
      <c r="C5" s="511" t="s">
        <v>22</v>
      </c>
      <c r="D5" s="511" t="s">
        <v>23</v>
      </c>
      <c r="E5" s="511" t="s">
        <v>24</v>
      </c>
      <c r="F5" s="511" t="s">
        <v>34</v>
      </c>
      <c r="G5" s="511" t="s">
        <v>35</v>
      </c>
      <c r="H5" s="511" t="s">
        <v>36</v>
      </c>
      <c r="I5" s="511" t="s">
        <v>37</v>
      </c>
      <c r="J5" s="511" t="s">
        <v>38</v>
      </c>
    </row>
    <row r="6" spans="1:10" ht="40.5" customHeight="1" x14ac:dyDescent="0.35">
      <c r="A6" s="512"/>
      <c r="B6" s="513"/>
      <c r="C6" s="514" t="s">
        <v>500</v>
      </c>
      <c r="D6" s="514"/>
      <c r="E6" s="514"/>
      <c r="F6" s="514"/>
      <c r="G6" s="515" t="s">
        <v>501</v>
      </c>
      <c r="H6" s="516"/>
      <c r="I6" s="516"/>
      <c r="J6" s="517"/>
    </row>
    <row r="7" spans="1:10" ht="32.25" customHeight="1" x14ac:dyDescent="0.35">
      <c r="A7" s="518"/>
      <c r="B7" s="519" t="s">
        <v>79</v>
      </c>
      <c r="C7" s="514" t="s">
        <v>502</v>
      </c>
      <c r="D7" s="514"/>
      <c r="E7" s="514" t="s">
        <v>503</v>
      </c>
      <c r="F7" s="514"/>
      <c r="G7" s="515" t="s">
        <v>502</v>
      </c>
      <c r="H7" s="517"/>
      <c r="I7" s="515" t="s">
        <v>503</v>
      </c>
      <c r="J7" s="517"/>
    </row>
    <row r="8" spans="1:10" x14ac:dyDescent="0.35">
      <c r="A8" s="520"/>
      <c r="B8" s="519"/>
      <c r="C8" s="511" t="s">
        <v>504</v>
      </c>
      <c r="D8" s="511" t="s">
        <v>505</v>
      </c>
      <c r="E8" s="511" t="s">
        <v>504</v>
      </c>
      <c r="F8" s="511" t="s">
        <v>505</v>
      </c>
      <c r="G8" s="521" t="s">
        <v>504</v>
      </c>
      <c r="H8" s="521" t="s">
        <v>505</v>
      </c>
      <c r="I8" s="521" t="s">
        <v>504</v>
      </c>
      <c r="J8" s="521" t="s">
        <v>505</v>
      </c>
    </row>
    <row r="9" spans="1:10" x14ac:dyDescent="0.35">
      <c r="A9" s="522">
        <v>1</v>
      </c>
      <c r="B9" s="523" t="s">
        <v>506</v>
      </c>
      <c r="C9" s="511"/>
      <c r="D9" s="524">
        <v>68.482900000000001</v>
      </c>
      <c r="E9" s="524"/>
      <c r="F9" s="524">
        <v>2.2999999999999998</v>
      </c>
      <c r="G9" s="511"/>
      <c r="H9" s="511"/>
      <c r="I9" s="511"/>
      <c r="J9" s="525">
        <v>0</v>
      </c>
    </row>
    <row r="10" spans="1:10" x14ac:dyDescent="0.35">
      <c r="A10" s="522">
        <v>2</v>
      </c>
      <c r="B10" s="523" t="s">
        <v>507</v>
      </c>
      <c r="C10" s="511"/>
      <c r="D10" s="524">
        <v>170.80777633000002</v>
      </c>
      <c r="E10" s="524"/>
      <c r="F10" s="524">
        <v>4.5544365599999992</v>
      </c>
      <c r="G10" s="511"/>
      <c r="H10" s="511"/>
      <c r="I10" s="511"/>
      <c r="J10" s="525">
        <v>0</v>
      </c>
    </row>
    <row r="11" spans="1:10" x14ac:dyDescent="0.35">
      <c r="A11" s="522">
        <v>3</v>
      </c>
      <c r="B11" s="523" t="s">
        <v>508</v>
      </c>
      <c r="C11" s="511"/>
      <c r="D11" s="524" t="s">
        <v>80</v>
      </c>
      <c r="E11" s="524"/>
      <c r="F11" s="524"/>
      <c r="G11" s="511"/>
      <c r="H11" s="511"/>
      <c r="I11" s="511"/>
      <c r="J11" s="511"/>
    </row>
    <row r="12" spans="1:10" x14ac:dyDescent="0.35">
      <c r="A12" s="522">
        <v>4</v>
      </c>
      <c r="B12" s="523" t="s">
        <v>509</v>
      </c>
      <c r="C12" s="511"/>
      <c r="D12" s="524" t="s">
        <v>80</v>
      </c>
      <c r="E12" s="524"/>
      <c r="F12" s="524"/>
      <c r="G12" s="511"/>
      <c r="H12" s="511"/>
      <c r="I12" s="511"/>
      <c r="J12" s="511"/>
    </row>
    <row r="13" spans="1:10" x14ac:dyDescent="0.35">
      <c r="A13" s="522">
        <v>5</v>
      </c>
      <c r="B13" s="523" t="s">
        <v>510</v>
      </c>
      <c r="C13" s="511"/>
      <c r="D13" s="524" t="s">
        <v>81</v>
      </c>
      <c r="E13" s="524"/>
      <c r="F13" s="524"/>
      <c r="G13" s="511"/>
      <c r="H13" s="511"/>
      <c r="I13" s="511"/>
      <c r="J13" s="511"/>
    </row>
    <row r="14" spans="1:10" x14ac:dyDescent="0.35">
      <c r="A14" s="522">
        <v>6</v>
      </c>
      <c r="B14" s="523" t="s">
        <v>511</v>
      </c>
      <c r="C14" s="511"/>
      <c r="D14" s="524" t="s">
        <v>80</v>
      </c>
      <c r="E14" s="524"/>
      <c r="F14" s="524"/>
      <c r="G14" s="511"/>
      <c r="H14" s="511"/>
      <c r="I14" s="511"/>
      <c r="J14" s="511"/>
    </row>
    <row r="15" spans="1:10" x14ac:dyDescent="0.35">
      <c r="A15" s="522">
        <v>7</v>
      </c>
      <c r="B15" s="523" t="s">
        <v>512</v>
      </c>
      <c r="C15" s="511"/>
      <c r="D15" s="524" t="s">
        <v>80</v>
      </c>
      <c r="E15" s="524"/>
      <c r="F15" s="524"/>
      <c r="G15" s="511"/>
      <c r="H15" s="511"/>
      <c r="I15" s="511"/>
      <c r="J15" s="511"/>
    </row>
    <row r="16" spans="1:10" x14ac:dyDescent="0.35">
      <c r="A16" s="522">
        <v>8</v>
      </c>
      <c r="B16" s="523" t="s">
        <v>513</v>
      </c>
      <c r="C16" s="511"/>
      <c r="D16" s="524" t="s">
        <v>80</v>
      </c>
      <c r="E16" s="524"/>
      <c r="F16" s="524"/>
      <c r="G16" s="511"/>
      <c r="H16" s="511"/>
      <c r="I16" s="511"/>
      <c r="J16" s="511"/>
    </row>
    <row r="17" spans="1:10" x14ac:dyDescent="0.35">
      <c r="A17" s="526">
        <v>9</v>
      </c>
      <c r="B17" s="527" t="s">
        <v>46</v>
      </c>
      <c r="C17" s="527"/>
      <c r="D17" s="528">
        <v>239.29067633000003</v>
      </c>
      <c r="E17" s="528"/>
      <c r="F17" s="528">
        <v>6.8544365599999999</v>
      </c>
      <c r="G17" s="527"/>
      <c r="H17" s="527"/>
      <c r="I17" s="527"/>
      <c r="J17" s="527">
        <v>0</v>
      </c>
    </row>
  </sheetData>
  <mergeCells count="7">
    <mergeCell ref="C6:F6"/>
    <mergeCell ref="G6:J6"/>
    <mergeCell ref="B7:B8"/>
    <mergeCell ref="C7:D7"/>
    <mergeCell ref="E7:F7"/>
    <mergeCell ref="G7:H7"/>
    <mergeCell ref="I7:J7"/>
  </mergeCells>
  <pageMargins left="0.7" right="0.7" top="0.75" bottom="0.75" header="0.3" footer="0.3"/>
  <pageSetup paperSize="9" scale="8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4E5F4-866A-412C-8DF1-42707C27195C}">
  <sheetPr>
    <pageSetUpPr fitToPage="1"/>
  </sheetPr>
  <dimension ref="A2:F26"/>
  <sheetViews>
    <sheetView workbookViewId="0">
      <selection activeCell="A3" sqref="A3"/>
    </sheetView>
  </sheetViews>
  <sheetFormatPr defaultRowHeight="14.5" x14ac:dyDescent="0.35"/>
  <cols>
    <col min="2" max="2" width="58.453125" customWidth="1"/>
    <col min="3" max="4" width="20.1796875" customWidth="1"/>
  </cols>
  <sheetData>
    <row r="2" spans="1:6" ht="18.5" x14ac:dyDescent="0.45">
      <c r="A2" s="162" t="s">
        <v>515</v>
      </c>
    </row>
    <row r="3" spans="1:6" ht="15.5" x14ac:dyDescent="0.35">
      <c r="A3" s="169" t="s">
        <v>462</v>
      </c>
    </row>
    <row r="4" spans="1:6" x14ac:dyDescent="0.35">
      <c r="A4" s="166"/>
      <c r="B4" s="167"/>
      <c r="C4" s="166"/>
      <c r="D4" s="166"/>
    </row>
    <row r="5" spans="1:6" x14ac:dyDescent="0.35">
      <c r="A5" s="170"/>
      <c r="B5" s="529"/>
      <c r="C5" s="142" t="s">
        <v>22</v>
      </c>
      <c r="D5" s="142" t="s">
        <v>23</v>
      </c>
    </row>
    <row r="6" spans="1:6" x14ac:dyDescent="0.35">
      <c r="A6" s="171"/>
      <c r="B6" s="530"/>
      <c r="C6" s="142" t="s">
        <v>516</v>
      </c>
      <c r="D6" s="142" t="s">
        <v>469</v>
      </c>
    </row>
    <row r="7" spans="1:6" x14ac:dyDescent="0.35">
      <c r="A7" s="175">
        <v>1</v>
      </c>
      <c r="B7" s="152" t="s">
        <v>517</v>
      </c>
      <c r="C7" s="172"/>
      <c r="D7" s="173">
        <v>14.326933859999999</v>
      </c>
      <c r="E7" s="168"/>
      <c r="F7" s="168"/>
    </row>
    <row r="8" spans="1:6" ht="26" x14ac:dyDescent="0.35">
      <c r="A8" s="142">
        <v>2</v>
      </c>
      <c r="B8" s="151" t="s">
        <v>518</v>
      </c>
      <c r="C8" s="173">
        <v>1.0555587200000001</v>
      </c>
      <c r="D8" s="173">
        <v>0.52777936000000003</v>
      </c>
      <c r="E8" s="168"/>
      <c r="F8" s="168"/>
    </row>
    <row r="9" spans="1:6" x14ac:dyDescent="0.35">
      <c r="A9" s="142">
        <v>3</v>
      </c>
      <c r="B9" s="151" t="s">
        <v>519</v>
      </c>
      <c r="C9" s="173"/>
      <c r="D9" s="173"/>
      <c r="E9" s="168"/>
      <c r="F9" s="168"/>
    </row>
    <row r="10" spans="1:6" x14ac:dyDescent="0.35">
      <c r="A10" s="142">
        <v>4</v>
      </c>
      <c r="B10" s="151" t="s">
        <v>520</v>
      </c>
      <c r="C10" s="173">
        <v>1.0555587200000001</v>
      </c>
      <c r="D10" s="173">
        <v>0.52777936000000003</v>
      </c>
      <c r="E10" s="168"/>
      <c r="F10" s="168"/>
    </row>
    <row r="11" spans="1:6" x14ac:dyDescent="0.35">
      <c r="A11" s="142">
        <v>5</v>
      </c>
      <c r="B11" s="151" t="s">
        <v>521</v>
      </c>
      <c r="C11" s="173"/>
      <c r="D11" s="173"/>
    </row>
    <row r="12" spans="1:6" x14ac:dyDescent="0.35">
      <c r="A12" s="142">
        <v>6</v>
      </c>
      <c r="B12" s="151" t="s">
        <v>522</v>
      </c>
      <c r="C12" s="173"/>
      <c r="D12" s="173"/>
    </row>
    <row r="13" spans="1:6" x14ac:dyDescent="0.35">
      <c r="A13" s="142">
        <v>7</v>
      </c>
      <c r="B13" s="151" t="s">
        <v>523</v>
      </c>
      <c r="C13" s="173"/>
      <c r="D13" s="172"/>
    </row>
    <row r="14" spans="1:6" x14ac:dyDescent="0.35">
      <c r="A14" s="142">
        <v>8</v>
      </c>
      <c r="B14" s="151" t="s">
        <v>524</v>
      </c>
      <c r="C14" s="173">
        <v>27.598309</v>
      </c>
      <c r="D14" s="173">
        <v>13.7991545</v>
      </c>
      <c r="E14" s="168"/>
      <c r="F14" s="168"/>
    </row>
    <row r="15" spans="1:6" x14ac:dyDescent="0.35">
      <c r="A15" s="142">
        <v>9</v>
      </c>
      <c r="B15" s="151" t="s">
        <v>525</v>
      </c>
      <c r="C15" s="174"/>
      <c r="D15" s="174"/>
    </row>
    <row r="16" spans="1:6" x14ac:dyDescent="0.35">
      <c r="A16" s="142">
        <v>10</v>
      </c>
      <c r="B16" s="151" t="s">
        <v>526</v>
      </c>
      <c r="C16" s="174"/>
      <c r="D16" s="174"/>
    </row>
    <row r="17" spans="1:4" x14ac:dyDescent="0.35">
      <c r="A17" s="175">
        <v>11</v>
      </c>
      <c r="B17" s="176" t="s">
        <v>527</v>
      </c>
      <c r="C17" s="177"/>
      <c r="D17" s="174"/>
    </row>
    <row r="18" spans="1:4" ht="26" x14ac:dyDescent="0.35">
      <c r="A18" s="142">
        <v>12</v>
      </c>
      <c r="B18" s="151" t="s">
        <v>528</v>
      </c>
      <c r="C18" s="174"/>
      <c r="D18" s="174"/>
    </row>
    <row r="19" spans="1:4" x14ac:dyDescent="0.35">
      <c r="A19" s="142">
        <v>13</v>
      </c>
      <c r="B19" s="151" t="s">
        <v>519</v>
      </c>
      <c r="C19" s="174"/>
      <c r="D19" s="174"/>
    </row>
    <row r="20" spans="1:4" x14ac:dyDescent="0.35">
      <c r="A20" s="142">
        <v>14</v>
      </c>
      <c r="B20" s="151" t="s">
        <v>520</v>
      </c>
      <c r="C20" s="174"/>
      <c r="D20" s="174"/>
    </row>
    <row r="21" spans="1:4" x14ac:dyDescent="0.35">
      <c r="A21" s="142">
        <v>15</v>
      </c>
      <c r="B21" s="151" t="s">
        <v>521</v>
      </c>
      <c r="C21" s="174"/>
      <c r="D21" s="174"/>
    </row>
    <row r="22" spans="1:4" x14ac:dyDescent="0.35">
      <c r="A22" s="142">
        <v>16</v>
      </c>
      <c r="B22" s="151" t="s">
        <v>522</v>
      </c>
      <c r="C22" s="174"/>
      <c r="D22" s="174"/>
    </row>
    <row r="23" spans="1:4" x14ac:dyDescent="0.35">
      <c r="A23" s="142">
        <v>17</v>
      </c>
      <c r="B23" s="151" t="s">
        <v>523</v>
      </c>
      <c r="C23" s="174"/>
      <c r="D23" s="177"/>
    </row>
    <row r="24" spans="1:4" x14ac:dyDescent="0.35">
      <c r="A24" s="142">
        <v>18</v>
      </c>
      <c r="B24" s="151" t="s">
        <v>524</v>
      </c>
      <c r="C24" s="174"/>
      <c r="D24" s="174"/>
    </row>
    <row r="25" spans="1:4" x14ac:dyDescent="0.35">
      <c r="A25" s="142">
        <v>19</v>
      </c>
      <c r="B25" s="151" t="s">
        <v>525</v>
      </c>
      <c r="C25" s="174"/>
      <c r="D25" s="174"/>
    </row>
    <row r="26" spans="1:4" x14ac:dyDescent="0.35">
      <c r="A26" s="142">
        <v>20</v>
      </c>
      <c r="B26" s="151" t="s">
        <v>526</v>
      </c>
      <c r="C26" s="174"/>
      <c r="D26" s="174"/>
    </row>
  </sheetData>
  <pageMargins left="0.7" right="0.7" top="0.75" bottom="0.75" header="0.3" footer="0.3"/>
  <pageSetup paperSize="9" scale="81"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67CA2-CD16-4791-AADE-24DF0AC997A5}">
  <sheetPr>
    <pageSetUpPr fitToPage="1"/>
  </sheetPr>
  <dimension ref="A2:C16"/>
  <sheetViews>
    <sheetView workbookViewId="0">
      <selection activeCell="A26" sqref="A26:XFD26"/>
    </sheetView>
  </sheetViews>
  <sheetFormatPr defaultRowHeight="14.5" x14ac:dyDescent="0.35"/>
  <cols>
    <col min="2" max="3" width="38.453125" customWidth="1"/>
  </cols>
  <sheetData>
    <row r="2" spans="1:3" ht="18.5" x14ac:dyDescent="0.35">
      <c r="A2" s="245" t="s">
        <v>532</v>
      </c>
      <c r="B2" s="243"/>
      <c r="C2" s="244"/>
    </row>
    <row r="3" spans="1:3" ht="18.5" x14ac:dyDescent="0.35">
      <c r="A3" s="245"/>
      <c r="B3" s="243"/>
      <c r="C3" s="244"/>
    </row>
    <row r="4" spans="1:3" x14ac:dyDescent="0.35">
      <c r="A4" s="531"/>
      <c r="B4" s="532"/>
      <c r="C4" s="246" t="s">
        <v>22</v>
      </c>
    </row>
    <row r="5" spans="1:3" x14ac:dyDescent="0.35">
      <c r="A5" s="247"/>
      <c r="B5" s="248"/>
      <c r="C5" s="249" t="s">
        <v>533</v>
      </c>
    </row>
    <row r="6" spans="1:3" x14ac:dyDescent="0.35">
      <c r="A6" s="247"/>
      <c r="B6" s="250" t="s">
        <v>534</v>
      </c>
      <c r="C6" s="251"/>
    </row>
    <row r="7" spans="1:3" x14ac:dyDescent="0.35">
      <c r="A7" s="252">
        <v>1</v>
      </c>
      <c r="B7" s="253" t="s">
        <v>535</v>
      </c>
      <c r="C7" s="254">
        <v>6516.6799362222973</v>
      </c>
    </row>
    <row r="8" spans="1:3" x14ac:dyDescent="0.35">
      <c r="A8" s="252">
        <v>2</v>
      </c>
      <c r="B8" s="253" t="s">
        <v>536</v>
      </c>
      <c r="C8" s="254">
        <v>704.38680103999968</v>
      </c>
    </row>
    <row r="9" spans="1:3" x14ac:dyDescent="0.35">
      <c r="A9" s="252">
        <v>3</v>
      </c>
      <c r="B9" s="253" t="s">
        <v>537</v>
      </c>
      <c r="C9" s="254">
        <v>122.1942164500001</v>
      </c>
    </row>
    <row r="10" spans="1:3" x14ac:dyDescent="0.35">
      <c r="A10" s="252">
        <v>4</v>
      </c>
      <c r="B10" s="253" t="s">
        <v>538</v>
      </c>
      <c r="C10" s="254">
        <v>0</v>
      </c>
    </row>
    <row r="11" spans="1:3" x14ac:dyDescent="0.35">
      <c r="A11" s="252"/>
      <c r="B11" s="255" t="s">
        <v>539</v>
      </c>
      <c r="C11" s="256"/>
    </row>
    <row r="12" spans="1:3" x14ac:dyDescent="0.35">
      <c r="A12" s="252">
        <v>5</v>
      </c>
      <c r="B12" s="257" t="s">
        <v>540</v>
      </c>
      <c r="C12" s="254">
        <v>0</v>
      </c>
    </row>
    <row r="13" spans="1:3" x14ac:dyDescent="0.35">
      <c r="A13" s="252">
        <v>6</v>
      </c>
      <c r="B13" s="257" t="s">
        <v>541</v>
      </c>
      <c r="C13" s="254">
        <v>3.0242754048898477</v>
      </c>
    </row>
    <row r="14" spans="1:3" x14ac:dyDescent="0.35">
      <c r="A14" s="252">
        <v>7</v>
      </c>
      <c r="B14" s="257" t="s">
        <v>542</v>
      </c>
      <c r="C14" s="254">
        <v>0</v>
      </c>
    </row>
    <row r="15" spans="1:3" x14ac:dyDescent="0.35">
      <c r="A15" s="252">
        <v>8</v>
      </c>
      <c r="B15" s="248" t="s">
        <v>543</v>
      </c>
      <c r="C15" s="254">
        <v>0</v>
      </c>
    </row>
    <row r="16" spans="1:3" x14ac:dyDescent="0.35">
      <c r="A16" s="252">
        <v>9</v>
      </c>
      <c r="B16" s="255" t="s">
        <v>46</v>
      </c>
      <c r="C16" s="254">
        <f>SUM(C7:C15)</f>
        <v>7346.2852291171866</v>
      </c>
    </row>
  </sheetData>
  <pageMargins left="0.7" right="0.7" top="0.75" bottom="0.75" header="0.3" footer="0.3"/>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88D1-4ADA-4D1C-B4DA-E5112DB77075}">
  <sheetPr>
    <pageSetUpPr fitToPage="1"/>
  </sheetPr>
  <dimension ref="A3:F15"/>
  <sheetViews>
    <sheetView workbookViewId="0">
      <selection activeCell="A4" sqref="A4"/>
    </sheetView>
  </sheetViews>
  <sheetFormatPr defaultRowHeight="14.5" x14ac:dyDescent="0.35"/>
  <cols>
    <col min="2" max="2" width="26.26953125" customWidth="1"/>
    <col min="3" max="6" width="16.1796875" customWidth="1"/>
  </cols>
  <sheetData>
    <row r="3" spans="1:6" ht="18.5" x14ac:dyDescent="0.35">
      <c r="A3" s="258" t="s">
        <v>545</v>
      </c>
      <c r="B3" s="259"/>
      <c r="C3" s="260"/>
      <c r="D3" s="259"/>
      <c r="E3" s="259"/>
      <c r="F3" s="259"/>
    </row>
    <row r="4" spans="1:6" x14ac:dyDescent="0.35">
      <c r="A4" s="259"/>
      <c r="B4" s="259"/>
      <c r="C4" s="259"/>
      <c r="D4" s="259"/>
      <c r="E4" s="259"/>
      <c r="F4" s="259"/>
    </row>
    <row r="5" spans="1:6" x14ac:dyDescent="0.35">
      <c r="B5" s="259"/>
      <c r="C5" s="259"/>
      <c r="D5" s="259"/>
      <c r="E5" s="259"/>
      <c r="F5" s="259"/>
    </row>
    <row r="6" spans="1:6" x14ac:dyDescent="0.35">
      <c r="B6" s="259"/>
      <c r="C6" s="259"/>
      <c r="D6" s="259"/>
      <c r="E6" s="259"/>
      <c r="F6" s="259"/>
    </row>
    <row r="7" spans="1:6" ht="33" customHeight="1" x14ac:dyDescent="0.35">
      <c r="A7" s="261" t="s">
        <v>546</v>
      </c>
      <c r="B7" s="262"/>
      <c r="C7" s="263" t="s">
        <v>22</v>
      </c>
      <c r="D7" s="263" t="s">
        <v>23</v>
      </c>
      <c r="E7" s="263" t="s">
        <v>24</v>
      </c>
      <c r="F7" s="263" t="s">
        <v>34</v>
      </c>
    </row>
    <row r="8" spans="1:6" x14ac:dyDescent="0.35">
      <c r="A8" s="264"/>
      <c r="B8" s="265"/>
      <c r="C8" s="266" t="s">
        <v>547</v>
      </c>
      <c r="D8" s="267"/>
      <c r="E8" s="266" t="s">
        <v>548</v>
      </c>
      <c r="F8" s="267"/>
    </row>
    <row r="9" spans="1:6" x14ac:dyDescent="0.35">
      <c r="A9" s="268"/>
      <c r="B9" s="269"/>
      <c r="C9" s="270" t="s">
        <v>549</v>
      </c>
      <c r="D9" s="270" t="s">
        <v>550</v>
      </c>
      <c r="E9" s="270" t="s">
        <v>549</v>
      </c>
      <c r="F9" s="270" t="s">
        <v>550</v>
      </c>
    </row>
    <row r="10" spans="1:6" x14ac:dyDescent="0.35">
      <c r="A10" s="270">
        <v>1</v>
      </c>
      <c r="B10" s="271" t="s">
        <v>551</v>
      </c>
      <c r="C10" s="533">
        <v>-37.171851760080621</v>
      </c>
      <c r="D10" s="533">
        <v>-8.9210114228346136</v>
      </c>
      <c r="E10" s="270">
        <v>224</v>
      </c>
      <c r="F10" s="270">
        <v>187</v>
      </c>
    </row>
    <row r="11" spans="1:6" x14ac:dyDescent="0.35">
      <c r="A11" s="270">
        <v>2</v>
      </c>
      <c r="B11" s="272" t="s">
        <v>552</v>
      </c>
      <c r="C11" s="533">
        <v>32.893361866978147</v>
      </c>
      <c r="D11" s="533">
        <v>1.567432848911543</v>
      </c>
      <c r="E11" s="270">
        <f>-E10</f>
        <v>-224</v>
      </c>
      <c r="F11" s="270">
        <f>-F10</f>
        <v>-187</v>
      </c>
    </row>
    <row r="12" spans="1:6" x14ac:dyDescent="0.35">
      <c r="A12" s="270">
        <v>3</v>
      </c>
      <c r="B12" s="271" t="s">
        <v>112</v>
      </c>
      <c r="C12" s="533">
        <v>4.0536450764841057</v>
      </c>
      <c r="D12" s="533">
        <v>-15.386624087197934</v>
      </c>
      <c r="E12" s="273"/>
      <c r="F12" s="273"/>
    </row>
    <row r="13" spans="1:6" x14ac:dyDescent="0.35">
      <c r="A13" s="270">
        <v>4</v>
      </c>
      <c r="B13" s="271" t="s">
        <v>113</v>
      </c>
      <c r="C13" s="533">
        <v>-14.572963726225684</v>
      </c>
      <c r="D13" s="533">
        <v>9.3584437381189254</v>
      </c>
      <c r="E13" s="273"/>
      <c r="F13" s="273"/>
    </row>
    <row r="14" spans="1:6" x14ac:dyDescent="0.35">
      <c r="A14" s="270">
        <v>5</v>
      </c>
      <c r="B14" s="271" t="s">
        <v>553</v>
      </c>
      <c r="C14" s="533">
        <v>-26.357080019488453</v>
      </c>
      <c r="D14" s="533">
        <v>5.4260821069790506</v>
      </c>
      <c r="E14" s="273"/>
      <c r="F14" s="273"/>
    </row>
    <row r="15" spans="1:6" x14ac:dyDescent="0.35">
      <c r="A15" s="274">
        <v>6</v>
      </c>
      <c r="B15" s="271" t="s">
        <v>554</v>
      </c>
      <c r="C15" s="533">
        <v>21.309967469205304</v>
      </c>
      <c r="D15" s="533">
        <v>-2.9733202634945366</v>
      </c>
      <c r="E15" s="273"/>
      <c r="F15" s="273"/>
    </row>
  </sheetData>
  <mergeCells count="3">
    <mergeCell ref="A7:B9"/>
    <mergeCell ref="C8:D8"/>
    <mergeCell ref="E8:F8"/>
  </mergeCells>
  <pageMargins left="0.7" right="0.7" top="0.75" bottom="0.75" header="0.3" footer="0.3"/>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80039-232E-49BC-BF25-7AF99B47E22A}">
  <sheetPr>
    <pageSetUpPr fitToPage="1"/>
  </sheetPr>
  <dimension ref="A2:E39"/>
  <sheetViews>
    <sheetView workbookViewId="0">
      <selection activeCell="A17" sqref="A17:E17"/>
    </sheetView>
  </sheetViews>
  <sheetFormatPr defaultRowHeight="14.5" x14ac:dyDescent="0.35"/>
  <cols>
    <col min="1" max="1" width="92.54296875" customWidth="1"/>
  </cols>
  <sheetData>
    <row r="2" spans="1:5" ht="36.5" customHeight="1" x14ac:dyDescent="0.45">
      <c r="A2" s="344" t="s">
        <v>332</v>
      </c>
      <c r="B2" s="344"/>
      <c r="C2" s="344"/>
      <c r="D2" s="344"/>
      <c r="E2" s="344"/>
    </row>
    <row r="3" spans="1:5" x14ac:dyDescent="0.35">
      <c r="A3" s="392"/>
      <c r="B3" s="393" t="s">
        <v>333</v>
      </c>
      <c r="C3" s="393"/>
      <c r="D3" s="393" t="s">
        <v>115</v>
      </c>
      <c r="E3" s="393"/>
    </row>
    <row r="4" spans="1:5" x14ac:dyDescent="0.35">
      <c r="A4" s="392"/>
      <c r="B4" s="394" t="s">
        <v>334</v>
      </c>
      <c r="C4" s="394" t="s">
        <v>335</v>
      </c>
      <c r="D4" s="394" t="s">
        <v>334</v>
      </c>
      <c r="E4" s="394" t="s">
        <v>335</v>
      </c>
    </row>
    <row r="5" spans="1:5" x14ac:dyDescent="0.35">
      <c r="A5" s="395" t="s">
        <v>336</v>
      </c>
      <c r="B5" s="396">
        <v>4383.30942624</v>
      </c>
      <c r="C5" s="397">
        <v>6.9639637713540314E-2</v>
      </c>
      <c r="D5" s="396">
        <v>3110.6401200800001</v>
      </c>
      <c r="E5" s="397">
        <v>7.1989843235700193E-2</v>
      </c>
    </row>
    <row r="6" spans="1:5" x14ac:dyDescent="0.35">
      <c r="A6" s="395" t="s">
        <v>337</v>
      </c>
      <c r="B6" s="396">
        <v>1223.0028183200002</v>
      </c>
      <c r="C6" s="397">
        <v>1.9430404041428099E-2</v>
      </c>
      <c r="D6" s="396">
        <v>894.72860407999997</v>
      </c>
      <c r="E6" s="397">
        <v>2.0706790068842653E-2</v>
      </c>
    </row>
    <row r="7" spans="1:5" x14ac:dyDescent="0.35">
      <c r="A7" s="395" t="s">
        <v>338</v>
      </c>
      <c r="B7" s="396">
        <v>663.80674399999998</v>
      </c>
      <c r="C7" s="397">
        <v>1.0546200751248017E-2</v>
      </c>
      <c r="D7" s="396">
        <v>382.28570704000003</v>
      </c>
      <c r="E7" s="397">
        <v>8.8472748561960399E-3</v>
      </c>
    </row>
    <row r="8" spans="1:5" x14ac:dyDescent="0.35">
      <c r="A8" s="395" t="s">
        <v>339</v>
      </c>
      <c r="B8" s="396">
        <v>18.2</v>
      </c>
      <c r="C8" s="397">
        <v>2.8915170779390863E-4</v>
      </c>
      <c r="D8" s="396">
        <v>38.9</v>
      </c>
      <c r="E8" s="397">
        <v>9.00266438342188E-4</v>
      </c>
    </row>
    <row r="9" spans="1:5" x14ac:dyDescent="0.35">
      <c r="A9" s="398" t="s">
        <v>340</v>
      </c>
      <c r="B9" s="399">
        <v>6288.3189885599995</v>
      </c>
      <c r="C9" s="400">
        <v>9.9905394214010332E-2</v>
      </c>
      <c r="D9" s="399">
        <v>4426.5544312000002</v>
      </c>
      <c r="E9" s="400">
        <v>0.10244417459908108</v>
      </c>
    </row>
    <row r="10" spans="1:5" x14ac:dyDescent="0.35">
      <c r="A10" s="395" t="s">
        <v>341</v>
      </c>
      <c r="B10" s="401">
        <v>0</v>
      </c>
      <c r="C10" s="397">
        <v>0</v>
      </c>
      <c r="D10" s="401">
        <v>0</v>
      </c>
      <c r="E10" s="397">
        <v>0</v>
      </c>
    </row>
    <row r="11" spans="1:5" ht="15.5" x14ac:dyDescent="0.35">
      <c r="A11" s="402"/>
      <c r="B11" s="403"/>
      <c r="C11" s="403"/>
      <c r="D11" s="403"/>
      <c r="E11" s="403"/>
    </row>
    <row r="12" spans="1:5" x14ac:dyDescent="0.35">
      <c r="A12" s="398" t="s">
        <v>342</v>
      </c>
      <c r="B12" s="399">
        <v>6288.3189885599995</v>
      </c>
      <c r="C12" s="400">
        <v>9.9905394214010332E-2</v>
      </c>
      <c r="D12" s="399">
        <v>4426.5544312000002</v>
      </c>
      <c r="E12" s="400">
        <v>0.10244417459908108</v>
      </c>
    </row>
    <row r="13" spans="1:5" x14ac:dyDescent="0.35">
      <c r="A13" s="395" t="s">
        <v>343</v>
      </c>
      <c r="B13" s="396">
        <v>9143.969771</v>
      </c>
      <c r="C13" s="397">
        <v>0.14527442171980909</v>
      </c>
      <c r="D13" s="396">
        <v>9208.479969</v>
      </c>
      <c r="E13" s="397">
        <v>0.21311273686984605</v>
      </c>
    </row>
    <row r="14" spans="1:5" x14ac:dyDescent="0.35">
      <c r="A14" s="395" t="s">
        <v>344</v>
      </c>
      <c r="B14" s="396">
        <v>9846.5109740000007</v>
      </c>
      <c r="C14" s="397">
        <v>0.15643601450239356</v>
      </c>
      <c r="D14" s="396">
        <v>9637.479969</v>
      </c>
      <c r="E14" s="397">
        <v>0.2230411250973216</v>
      </c>
    </row>
    <row r="15" spans="1:5" x14ac:dyDescent="0.35">
      <c r="A15" s="395" t="s">
        <v>345</v>
      </c>
      <c r="B15" s="396">
        <v>11230.407438</v>
      </c>
      <c r="C15" s="397">
        <v>0.17842260933621507</v>
      </c>
      <c r="D15" s="396">
        <v>10537.479969</v>
      </c>
      <c r="E15" s="397">
        <v>0.24386991158852903</v>
      </c>
    </row>
    <row r="16" spans="1:5" x14ac:dyDescent="0.35">
      <c r="A16" s="398" t="s">
        <v>116</v>
      </c>
      <c r="B16" s="398"/>
      <c r="C16" s="398"/>
      <c r="D16" s="398"/>
      <c r="E16" s="398"/>
    </row>
    <row r="17" spans="1:5" ht="33.65" customHeight="1" x14ac:dyDescent="0.35">
      <c r="A17" s="404" t="s">
        <v>346</v>
      </c>
      <c r="B17" s="404"/>
      <c r="C17" s="404"/>
      <c r="D17" s="404"/>
      <c r="E17" s="404"/>
    </row>
    <row r="18" spans="1:5" ht="56.15" customHeight="1" x14ac:dyDescent="0.35">
      <c r="A18" s="404" t="s">
        <v>347</v>
      </c>
      <c r="B18" s="404"/>
      <c r="C18" s="404"/>
      <c r="D18" s="404"/>
      <c r="E18" s="404"/>
    </row>
    <row r="19" spans="1:5" ht="29.5" customHeight="1" x14ac:dyDescent="0.35">
      <c r="A19" s="404" t="s">
        <v>348</v>
      </c>
      <c r="B19" s="404"/>
      <c r="C19" s="404"/>
      <c r="D19" s="404"/>
      <c r="E19" s="404"/>
    </row>
    <row r="20" spans="1:5" ht="33.65" customHeight="1" x14ac:dyDescent="0.35">
      <c r="A20" s="405" t="s">
        <v>349</v>
      </c>
      <c r="B20" s="405"/>
      <c r="C20" s="405"/>
      <c r="D20" s="405"/>
      <c r="E20" s="405"/>
    </row>
    <row r="21" spans="1:5" x14ac:dyDescent="0.35">
      <c r="A21" s="406" t="s">
        <v>350</v>
      </c>
      <c r="B21" s="406"/>
      <c r="C21" s="406"/>
      <c r="D21" s="406"/>
      <c r="E21" s="406"/>
    </row>
    <row r="22" spans="1:5" ht="45.65" customHeight="1" x14ac:dyDescent="0.35">
      <c r="A22" s="404" t="s">
        <v>351</v>
      </c>
      <c r="B22" s="404"/>
      <c r="C22" s="404"/>
      <c r="D22" s="404"/>
      <c r="E22" s="404"/>
    </row>
    <row r="23" spans="1:5" ht="15" customHeight="1" x14ac:dyDescent="0.35">
      <c r="A23" s="404" t="s">
        <v>352</v>
      </c>
      <c r="B23" s="404"/>
      <c r="C23" s="404"/>
      <c r="D23" s="404"/>
      <c r="E23" s="404"/>
    </row>
    <row r="24" spans="1:5" ht="15" customHeight="1" x14ac:dyDescent="0.35">
      <c r="A24" s="404" t="s">
        <v>353</v>
      </c>
      <c r="B24" s="404"/>
      <c r="C24" s="404"/>
      <c r="D24" s="404"/>
      <c r="E24" s="404"/>
    </row>
    <row r="25" spans="1:5" ht="15" customHeight="1" x14ac:dyDescent="0.35">
      <c r="A25" s="404" t="s">
        <v>354</v>
      </c>
      <c r="B25" s="404"/>
      <c r="C25" s="404"/>
      <c r="D25" s="404"/>
      <c r="E25" s="404"/>
    </row>
    <row r="26" spans="1:5" ht="15" customHeight="1" x14ac:dyDescent="0.35">
      <c r="A26" s="404" t="s">
        <v>355</v>
      </c>
      <c r="B26" s="404"/>
      <c r="C26" s="404"/>
      <c r="D26" s="404"/>
      <c r="E26" s="404"/>
    </row>
    <row r="27" spans="1:5" ht="14.5" customHeight="1" x14ac:dyDescent="0.35">
      <c r="A27" s="404" t="s">
        <v>356</v>
      </c>
      <c r="B27" s="404"/>
      <c r="C27" s="404"/>
      <c r="D27" s="404"/>
      <c r="E27" s="404"/>
    </row>
    <row r="28" spans="1:5" ht="15" customHeight="1" x14ac:dyDescent="0.35">
      <c r="A28" s="404" t="s">
        <v>357</v>
      </c>
      <c r="B28" s="404"/>
      <c r="C28" s="404"/>
      <c r="D28" s="404"/>
      <c r="E28" s="404"/>
    </row>
    <row r="29" spans="1:5" ht="15" customHeight="1" x14ac:dyDescent="0.35">
      <c r="A29" s="407"/>
      <c r="B29" s="407"/>
      <c r="C29" s="407"/>
      <c r="D29" s="407"/>
      <c r="E29" s="407"/>
    </row>
    <row r="30" spans="1:5" ht="19" customHeight="1" x14ac:dyDescent="0.35">
      <c r="A30" s="408" t="s">
        <v>358</v>
      </c>
      <c r="B30" s="408"/>
      <c r="C30" s="408"/>
      <c r="D30" s="408"/>
      <c r="E30" s="408"/>
    </row>
    <row r="31" spans="1:5" ht="43" customHeight="1" x14ac:dyDescent="0.35">
      <c r="A31" s="404" t="s">
        <v>359</v>
      </c>
      <c r="B31" s="404"/>
      <c r="C31" s="404"/>
      <c r="D31" s="404"/>
      <c r="E31" s="404"/>
    </row>
    <row r="32" spans="1:5" ht="14.5" customHeight="1" x14ac:dyDescent="0.35">
      <c r="A32" s="404" t="s">
        <v>360</v>
      </c>
      <c r="B32" s="404"/>
      <c r="C32" s="404"/>
      <c r="D32" s="404"/>
      <c r="E32" s="404"/>
    </row>
    <row r="33" spans="1:5" ht="14.5" customHeight="1" x14ac:dyDescent="0.35">
      <c r="A33" s="404" t="s">
        <v>361</v>
      </c>
      <c r="B33" s="404"/>
      <c r="C33" s="404"/>
      <c r="D33" s="404"/>
      <c r="E33" s="404"/>
    </row>
    <row r="34" spans="1:5" x14ac:dyDescent="0.35">
      <c r="A34" s="404" t="s">
        <v>362</v>
      </c>
      <c r="B34" s="404"/>
      <c r="C34" s="404"/>
      <c r="D34" s="404"/>
      <c r="E34" s="404"/>
    </row>
    <row r="35" spans="1:5" x14ac:dyDescent="0.35">
      <c r="A35" s="408" t="s">
        <v>363</v>
      </c>
      <c r="B35" s="408"/>
      <c r="C35" s="408"/>
      <c r="D35" s="408"/>
      <c r="E35" s="408"/>
    </row>
    <row r="36" spans="1:5" ht="60.65" customHeight="1" x14ac:dyDescent="0.35">
      <c r="A36" s="404" t="s">
        <v>364</v>
      </c>
      <c r="B36" s="404"/>
      <c r="C36" s="404"/>
      <c r="D36" s="404"/>
      <c r="E36" s="404"/>
    </row>
    <row r="37" spans="1:5" x14ac:dyDescent="0.35">
      <c r="A37" s="408" t="s">
        <v>365</v>
      </c>
      <c r="B37" s="408"/>
      <c r="C37" s="408"/>
      <c r="D37" s="408"/>
      <c r="E37" s="408"/>
    </row>
    <row r="38" spans="1:5" ht="41.5" customHeight="1" x14ac:dyDescent="0.35">
      <c r="A38" s="404" t="s">
        <v>366</v>
      </c>
      <c r="B38" s="404"/>
      <c r="C38" s="404"/>
      <c r="D38" s="404"/>
      <c r="E38" s="404"/>
    </row>
    <row r="39" spans="1:5" x14ac:dyDescent="0.35">
      <c r="A39" s="409"/>
    </row>
  </sheetData>
  <mergeCells count="26">
    <mergeCell ref="A38:E38"/>
    <mergeCell ref="A2:E2"/>
    <mergeCell ref="A3:A4"/>
    <mergeCell ref="B3:C3"/>
    <mergeCell ref="D3:E3"/>
    <mergeCell ref="A17:E17"/>
    <mergeCell ref="A22:C22"/>
    <mergeCell ref="A34:E34"/>
    <mergeCell ref="A35:E35"/>
    <mergeCell ref="A36:E36"/>
    <mergeCell ref="A37:E37"/>
    <mergeCell ref="A31:E31"/>
    <mergeCell ref="A32:E32"/>
    <mergeCell ref="A33:E33"/>
    <mergeCell ref="A30:E30"/>
    <mergeCell ref="A26:C26"/>
    <mergeCell ref="A27:C27"/>
    <mergeCell ref="A28:C28"/>
    <mergeCell ref="D22:E28"/>
    <mergeCell ref="A24:C24"/>
    <mergeCell ref="A25:C25"/>
    <mergeCell ref="A21:E21"/>
    <mergeCell ref="A23:C23"/>
    <mergeCell ref="A18:E18"/>
    <mergeCell ref="A19:E19"/>
    <mergeCell ref="A20:E20"/>
  </mergeCells>
  <pageMargins left="0.7" right="0.7" top="0.75" bottom="0.75" header="0.3" footer="0.3"/>
  <pageSetup paperSize="9" scale="7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C96EC-F161-4497-A392-A1DCF9E7F039}">
  <sheetPr>
    <pageSetUpPr fitToPage="1"/>
  </sheetPr>
  <dimension ref="A2:G44"/>
  <sheetViews>
    <sheetView workbookViewId="0">
      <selection activeCell="I7" sqref="I7"/>
    </sheetView>
  </sheetViews>
  <sheetFormatPr defaultRowHeight="14.5" x14ac:dyDescent="0.35"/>
  <cols>
    <col min="1" max="1" width="12.81640625" customWidth="1"/>
    <col min="2" max="2" width="39.81640625" customWidth="1"/>
    <col min="3" max="7" width="12.81640625" style="275" customWidth="1"/>
  </cols>
  <sheetData>
    <row r="2" spans="1:7" ht="18.5" x14ac:dyDescent="0.35">
      <c r="A2" s="534" t="s">
        <v>557</v>
      </c>
    </row>
    <row r="3" spans="1:7" ht="15.5" x14ac:dyDescent="0.35">
      <c r="A3" s="276" t="s">
        <v>558</v>
      </c>
    </row>
    <row r="4" spans="1:7" ht="15" thickBot="1" x14ac:dyDescent="0.4">
      <c r="A4" s="277"/>
      <c r="B4" s="277"/>
      <c r="C4" s="278"/>
      <c r="D4" s="278"/>
      <c r="E4" s="278"/>
      <c r="F4" s="278"/>
      <c r="G4" s="278"/>
    </row>
    <row r="5" spans="1:7" ht="15" thickBot="1" x14ac:dyDescent="0.4">
      <c r="A5" s="279"/>
      <c r="B5" s="280"/>
      <c r="C5" s="281" t="s">
        <v>22</v>
      </c>
      <c r="D5" s="281" t="s">
        <v>23</v>
      </c>
      <c r="E5" s="282" t="s">
        <v>24</v>
      </c>
      <c r="F5" s="283" t="s">
        <v>34</v>
      </c>
      <c r="G5" s="284" t="s">
        <v>35</v>
      </c>
    </row>
    <row r="6" spans="1:7" ht="15" thickBot="1" x14ac:dyDescent="0.4">
      <c r="A6" s="285" t="s">
        <v>559</v>
      </c>
      <c r="B6" s="286"/>
      <c r="C6" s="287" t="s">
        <v>560</v>
      </c>
      <c r="D6" s="288"/>
      <c r="E6" s="288"/>
      <c r="F6" s="289"/>
      <c r="G6" s="290" t="s">
        <v>561</v>
      </c>
    </row>
    <row r="7" spans="1:7" ht="29.5" thickBot="1" x14ac:dyDescent="0.4">
      <c r="A7" s="291"/>
      <c r="B7" s="292"/>
      <c r="C7" s="293" t="s">
        <v>562</v>
      </c>
      <c r="D7" s="293" t="s">
        <v>563</v>
      </c>
      <c r="E7" s="293" t="s">
        <v>564</v>
      </c>
      <c r="F7" s="294" t="s">
        <v>565</v>
      </c>
      <c r="G7" s="295"/>
    </row>
    <row r="8" spans="1:7" ht="15" thickBot="1" x14ac:dyDescent="0.4">
      <c r="A8" s="296" t="s">
        <v>566</v>
      </c>
      <c r="B8" s="297"/>
      <c r="C8" s="298"/>
      <c r="D8" s="299"/>
      <c r="E8" s="298"/>
      <c r="F8" s="535"/>
      <c r="G8" s="300"/>
    </row>
    <row r="9" spans="1:7" ht="15" thickBot="1" x14ac:dyDescent="0.4">
      <c r="A9" s="301">
        <v>1</v>
      </c>
      <c r="B9" s="302" t="s">
        <v>567</v>
      </c>
      <c r="C9" s="536"/>
      <c r="D9" s="537" t="s">
        <v>82</v>
      </c>
      <c r="E9" s="537" t="s">
        <v>82</v>
      </c>
      <c r="F9" s="538">
        <v>11873</v>
      </c>
      <c r="G9" s="305">
        <v>11873</v>
      </c>
    </row>
    <row r="10" spans="1:7" ht="15" thickBot="1" x14ac:dyDescent="0.4">
      <c r="A10" s="306">
        <v>2</v>
      </c>
      <c r="B10" s="307" t="s">
        <v>568</v>
      </c>
      <c r="C10" s="539"/>
      <c r="D10" s="540" t="s">
        <v>82</v>
      </c>
      <c r="E10" s="541" t="s">
        <v>82</v>
      </c>
      <c r="F10" s="308">
        <v>11524</v>
      </c>
      <c r="G10" s="309">
        <v>11524</v>
      </c>
    </row>
    <row r="11" spans="1:7" ht="15" thickBot="1" x14ac:dyDescent="0.4">
      <c r="A11" s="306">
        <v>3</v>
      </c>
      <c r="B11" s="307" t="s">
        <v>569</v>
      </c>
      <c r="C11" s="542" t="s">
        <v>82</v>
      </c>
      <c r="D11" s="540" t="s">
        <v>82</v>
      </c>
      <c r="E11" s="541" t="s">
        <v>82</v>
      </c>
      <c r="F11" s="308">
        <v>348</v>
      </c>
      <c r="G11" s="309">
        <v>348</v>
      </c>
    </row>
    <row r="12" spans="1:7" ht="15" thickBot="1" x14ac:dyDescent="0.4">
      <c r="A12" s="310">
        <v>4</v>
      </c>
      <c r="B12" s="302" t="s">
        <v>570</v>
      </c>
      <c r="C12" s="543" t="s">
        <v>82</v>
      </c>
      <c r="D12" s="303">
        <v>77898</v>
      </c>
      <c r="E12" s="304">
        <v>10</v>
      </c>
      <c r="F12" s="311">
        <v>241</v>
      </c>
      <c r="G12" s="312">
        <v>73457</v>
      </c>
    </row>
    <row r="13" spans="1:7" ht="15" thickBot="1" x14ac:dyDescent="0.4">
      <c r="A13" s="306">
        <v>5</v>
      </c>
      <c r="B13" s="307" t="s">
        <v>571</v>
      </c>
      <c r="C13" s="543" t="s">
        <v>82</v>
      </c>
      <c r="D13" s="313">
        <v>61959</v>
      </c>
      <c r="E13" s="314">
        <v>4</v>
      </c>
      <c r="F13" s="308">
        <v>36</v>
      </c>
      <c r="G13" s="309">
        <v>58901</v>
      </c>
    </row>
    <row r="14" spans="1:7" ht="15" thickBot="1" x14ac:dyDescent="0.4">
      <c r="A14" s="306">
        <v>6</v>
      </c>
      <c r="B14" s="307" t="s">
        <v>572</v>
      </c>
      <c r="C14" s="543" t="s">
        <v>82</v>
      </c>
      <c r="D14" s="313">
        <v>15939</v>
      </c>
      <c r="E14" s="314">
        <v>6</v>
      </c>
      <c r="F14" s="308">
        <v>205</v>
      </c>
      <c r="G14" s="309">
        <v>14556</v>
      </c>
    </row>
    <row r="15" spans="1:7" ht="15" thickBot="1" x14ac:dyDescent="0.4">
      <c r="A15" s="310">
        <v>7</v>
      </c>
      <c r="B15" s="302" t="s">
        <v>573</v>
      </c>
      <c r="C15" s="543" t="s">
        <v>82</v>
      </c>
      <c r="D15" s="303">
        <v>10852</v>
      </c>
      <c r="E15" s="329" t="s">
        <v>82</v>
      </c>
      <c r="F15" s="311" t="s">
        <v>82</v>
      </c>
      <c r="G15" s="312">
        <v>4606</v>
      </c>
    </row>
    <row r="16" spans="1:7" ht="15" thickBot="1" x14ac:dyDescent="0.4">
      <c r="A16" s="306">
        <v>8</v>
      </c>
      <c r="B16" s="307" t="s">
        <v>574</v>
      </c>
      <c r="C16" s="543" t="s">
        <v>82</v>
      </c>
      <c r="D16" s="544" t="s">
        <v>82</v>
      </c>
      <c r="E16" s="282" t="s">
        <v>82</v>
      </c>
      <c r="F16" s="308" t="s">
        <v>82</v>
      </c>
      <c r="G16" s="309" t="s">
        <v>82</v>
      </c>
    </row>
    <row r="17" spans="1:7" ht="15" thickBot="1" x14ac:dyDescent="0.4">
      <c r="A17" s="306">
        <v>9</v>
      </c>
      <c r="B17" s="315" t="s">
        <v>575</v>
      </c>
      <c r="C17" s="543" t="s">
        <v>82</v>
      </c>
      <c r="D17" s="313">
        <v>10852</v>
      </c>
      <c r="E17" s="282" t="s">
        <v>82</v>
      </c>
      <c r="F17" s="308" t="s">
        <v>82</v>
      </c>
      <c r="G17" s="309">
        <v>4606</v>
      </c>
    </row>
    <row r="18" spans="1:7" ht="15" thickBot="1" x14ac:dyDescent="0.4">
      <c r="A18" s="310">
        <v>10</v>
      </c>
      <c r="B18" s="302" t="s">
        <v>576</v>
      </c>
      <c r="C18" s="543" t="s">
        <v>82</v>
      </c>
      <c r="D18" s="545" t="s">
        <v>82</v>
      </c>
      <c r="E18" s="329" t="s">
        <v>82</v>
      </c>
      <c r="F18" s="311" t="s">
        <v>82</v>
      </c>
      <c r="G18" s="312" t="s">
        <v>82</v>
      </c>
    </row>
    <row r="19" spans="1:7" ht="15" thickBot="1" x14ac:dyDescent="0.4">
      <c r="A19" s="310">
        <v>11</v>
      </c>
      <c r="B19" s="302" t="s">
        <v>577</v>
      </c>
      <c r="C19" s="545" t="s">
        <v>82</v>
      </c>
      <c r="D19" s="303">
        <v>8114</v>
      </c>
      <c r="E19" s="329" t="s">
        <v>82</v>
      </c>
      <c r="F19" s="311" t="s">
        <v>82</v>
      </c>
      <c r="G19" s="312" t="s">
        <v>82</v>
      </c>
    </row>
    <row r="20" spans="1:7" ht="15" thickBot="1" x14ac:dyDescent="0.4">
      <c r="A20" s="306">
        <v>12</v>
      </c>
      <c r="B20" s="307" t="s">
        <v>578</v>
      </c>
      <c r="C20" s="281" t="s">
        <v>82</v>
      </c>
      <c r="D20" s="543" t="s">
        <v>82</v>
      </c>
      <c r="E20" s="546" t="s">
        <v>82</v>
      </c>
      <c r="F20" s="547" t="s">
        <v>82</v>
      </c>
      <c r="G20" s="316" t="s">
        <v>82</v>
      </c>
    </row>
    <row r="21" spans="1:7" ht="29.5" thickBot="1" x14ac:dyDescent="0.4">
      <c r="A21" s="306">
        <v>13</v>
      </c>
      <c r="B21" s="307" t="s">
        <v>579</v>
      </c>
      <c r="C21" s="543" t="s">
        <v>82</v>
      </c>
      <c r="D21" s="313">
        <v>8114</v>
      </c>
      <c r="E21" s="282" t="s">
        <v>82</v>
      </c>
      <c r="F21" s="308" t="s">
        <v>82</v>
      </c>
      <c r="G21" s="309" t="s">
        <v>82</v>
      </c>
    </row>
    <row r="22" spans="1:7" ht="15" thickBot="1" x14ac:dyDescent="0.4">
      <c r="A22" s="317">
        <v>14</v>
      </c>
      <c r="B22" s="318" t="s">
        <v>580</v>
      </c>
      <c r="C22" s="548" t="s">
        <v>82</v>
      </c>
      <c r="D22" s="548" t="s">
        <v>82</v>
      </c>
      <c r="E22" s="341" t="s">
        <v>82</v>
      </c>
      <c r="F22" s="549" t="s">
        <v>82</v>
      </c>
      <c r="G22" s="321">
        <v>89936</v>
      </c>
    </row>
    <row r="23" spans="1:7" ht="15" thickBot="1" x14ac:dyDescent="0.4">
      <c r="A23" s="322" t="s">
        <v>581</v>
      </c>
      <c r="B23" s="323"/>
      <c r="C23" s="323"/>
      <c r="D23" s="323"/>
      <c r="E23" s="323"/>
      <c r="F23" s="323"/>
      <c r="G23" s="324"/>
    </row>
    <row r="24" spans="1:7" ht="15" thickBot="1" x14ac:dyDescent="0.4">
      <c r="A24" s="310">
        <v>15</v>
      </c>
      <c r="B24" s="302" t="s">
        <v>582</v>
      </c>
      <c r="C24" s="325"/>
      <c r="D24" s="550" t="s">
        <v>82</v>
      </c>
      <c r="E24" s="326" t="s">
        <v>82</v>
      </c>
      <c r="F24" s="326" t="s">
        <v>82</v>
      </c>
      <c r="G24" s="327">
        <v>1739</v>
      </c>
    </row>
    <row r="25" spans="1:7" ht="29.5" thickBot="1" x14ac:dyDescent="0.4">
      <c r="A25" s="310" t="s">
        <v>114</v>
      </c>
      <c r="B25" s="302" t="s">
        <v>583</v>
      </c>
      <c r="C25" s="328"/>
      <c r="D25" s="545" t="s">
        <v>82</v>
      </c>
      <c r="E25" s="329" t="s">
        <v>82</v>
      </c>
      <c r="F25" s="329" t="s">
        <v>82</v>
      </c>
      <c r="G25" s="329" t="s">
        <v>82</v>
      </c>
    </row>
    <row r="26" spans="1:7" ht="29.5" thickBot="1" x14ac:dyDescent="0.4">
      <c r="A26" s="310">
        <v>16</v>
      </c>
      <c r="B26" s="302" t="s">
        <v>584</v>
      </c>
      <c r="C26" s="325"/>
      <c r="D26" s="545" t="s">
        <v>82</v>
      </c>
      <c r="E26" s="329" t="s">
        <v>82</v>
      </c>
      <c r="F26" s="329" t="s">
        <v>82</v>
      </c>
      <c r="G26" s="329" t="s">
        <v>82</v>
      </c>
    </row>
    <row r="27" spans="1:7" ht="15" thickBot="1" x14ac:dyDescent="0.4">
      <c r="A27" s="310">
        <v>17</v>
      </c>
      <c r="B27" s="302" t="s">
        <v>585</v>
      </c>
      <c r="C27" s="325"/>
      <c r="D27" s="303">
        <v>2649</v>
      </c>
      <c r="E27" s="304">
        <v>1843</v>
      </c>
      <c r="F27" s="329">
        <v>43014</v>
      </c>
      <c r="G27" s="312">
        <v>39122</v>
      </c>
    </row>
    <row r="28" spans="1:7" ht="58.5" thickBot="1" x14ac:dyDescent="0.4">
      <c r="A28" s="306">
        <v>18</v>
      </c>
      <c r="B28" s="330" t="s">
        <v>586</v>
      </c>
      <c r="C28" s="325"/>
      <c r="D28" s="281" t="s">
        <v>82</v>
      </c>
      <c r="E28" s="282" t="s">
        <v>82</v>
      </c>
      <c r="F28" s="282" t="s">
        <v>82</v>
      </c>
      <c r="G28" s="309" t="s">
        <v>82</v>
      </c>
    </row>
    <row r="29" spans="1:7" ht="58.5" thickBot="1" x14ac:dyDescent="0.4">
      <c r="A29" s="306">
        <v>19</v>
      </c>
      <c r="B29" s="307" t="s">
        <v>587</v>
      </c>
      <c r="C29" s="325"/>
      <c r="D29" s="313">
        <v>727</v>
      </c>
      <c r="E29" s="314">
        <v>100</v>
      </c>
      <c r="F29" s="282">
        <v>7663</v>
      </c>
      <c r="G29" s="309">
        <v>7780</v>
      </c>
    </row>
    <row r="30" spans="1:7" ht="58.5" thickBot="1" x14ac:dyDescent="0.4">
      <c r="A30" s="306">
        <v>20</v>
      </c>
      <c r="B30" s="307" t="s">
        <v>588</v>
      </c>
      <c r="C30" s="325"/>
      <c r="D30" s="313">
        <v>1438</v>
      </c>
      <c r="E30" s="314">
        <v>909</v>
      </c>
      <c r="F30" s="282">
        <v>26416</v>
      </c>
      <c r="G30" s="309">
        <v>26124</v>
      </c>
    </row>
    <row r="31" spans="1:7" ht="44" thickBot="1" x14ac:dyDescent="0.4">
      <c r="A31" s="306">
        <v>21</v>
      </c>
      <c r="B31" s="331" t="s">
        <v>589</v>
      </c>
      <c r="C31" s="325"/>
      <c r="D31" s="313">
        <v>6</v>
      </c>
      <c r="E31" s="314">
        <v>6</v>
      </c>
      <c r="F31" s="282">
        <v>389</v>
      </c>
      <c r="G31" s="309">
        <v>2823</v>
      </c>
    </row>
    <row r="32" spans="1:7" ht="29.5" thickBot="1" x14ac:dyDescent="0.4">
      <c r="A32" s="306">
        <v>22</v>
      </c>
      <c r="B32" s="307" t="s">
        <v>590</v>
      </c>
      <c r="C32" s="325"/>
      <c r="D32" s="313">
        <v>98</v>
      </c>
      <c r="E32" s="314">
        <v>99</v>
      </c>
      <c r="F32" s="282">
        <v>3807</v>
      </c>
      <c r="G32" s="309" t="s">
        <v>82</v>
      </c>
    </row>
    <row r="33" spans="1:7" ht="44" thickBot="1" x14ac:dyDescent="0.4">
      <c r="A33" s="306">
        <v>23</v>
      </c>
      <c r="B33" s="331" t="s">
        <v>589</v>
      </c>
      <c r="C33" s="325"/>
      <c r="D33" s="313">
        <v>98</v>
      </c>
      <c r="E33" s="314">
        <v>98</v>
      </c>
      <c r="F33" s="282">
        <v>3794</v>
      </c>
      <c r="G33" s="309" t="s">
        <v>82</v>
      </c>
    </row>
    <row r="34" spans="1:7" ht="58.5" thickBot="1" x14ac:dyDescent="0.4">
      <c r="A34" s="306">
        <v>24</v>
      </c>
      <c r="B34" s="307" t="s">
        <v>591</v>
      </c>
      <c r="C34" s="325"/>
      <c r="D34" s="313">
        <v>386</v>
      </c>
      <c r="E34" s="314">
        <v>735</v>
      </c>
      <c r="F34" s="282">
        <v>5129</v>
      </c>
      <c r="G34" s="309">
        <v>5218</v>
      </c>
    </row>
    <row r="35" spans="1:7" ht="15" thickBot="1" x14ac:dyDescent="0.4">
      <c r="A35" s="310">
        <v>25</v>
      </c>
      <c r="B35" s="302" t="s">
        <v>592</v>
      </c>
      <c r="C35" s="325"/>
      <c r="D35" s="303" t="s">
        <v>82</v>
      </c>
      <c r="E35" s="304" t="s">
        <v>82</v>
      </c>
      <c r="F35" s="329" t="s">
        <v>82</v>
      </c>
      <c r="G35" s="312" t="s">
        <v>82</v>
      </c>
    </row>
    <row r="36" spans="1:7" ht="15" thickBot="1" x14ac:dyDescent="0.4">
      <c r="A36" s="310">
        <v>26</v>
      </c>
      <c r="B36" s="302" t="s">
        <v>593</v>
      </c>
      <c r="C36" s="303"/>
      <c r="D36" s="332">
        <v>4514</v>
      </c>
      <c r="E36" s="333">
        <v>112</v>
      </c>
      <c r="F36" s="334">
        <v>23134</v>
      </c>
      <c r="G36" s="335">
        <v>23599</v>
      </c>
    </row>
    <row r="37" spans="1:7" ht="15" thickBot="1" x14ac:dyDescent="0.4">
      <c r="A37" s="306">
        <v>27</v>
      </c>
      <c r="B37" s="307" t="s">
        <v>594</v>
      </c>
      <c r="C37" s="325"/>
      <c r="D37" s="325" t="s">
        <v>82</v>
      </c>
      <c r="E37" s="551" t="s">
        <v>82</v>
      </c>
      <c r="F37" s="282" t="s">
        <v>82</v>
      </c>
      <c r="G37" s="552" t="s">
        <v>82</v>
      </c>
    </row>
    <row r="38" spans="1:7" ht="44" thickBot="1" x14ac:dyDescent="0.4">
      <c r="A38" s="306">
        <v>28</v>
      </c>
      <c r="B38" s="307" t="s">
        <v>595</v>
      </c>
      <c r="C38" s="325"/>
      <c r="D38" s="313">
        <v>28</v>
      </c>
      <c r="E38" s="313"/>
      <c r="F38" s="313"/>
      <c r="G38" s="553">
        <v>28</v>
      </c>
    </row>
    <row r="39" spans="1:7" ht="15" thickBot="1" x14ac:dyDescent="0.4">
      <c r="A39" s="306">
        <v>29</v>
      </c>
      <c r="B39" s="307" t="s">
        <v>596</v>
      </c>
      <c r="C39" s="336"/>
      <c r="D39" s="313">
        <v>39</v>
      </c>
      <c r="E39" s="325"/>
      <c r="F39" s="325"/>
      <c r="G39" s="554">
        <v>39</v>
      </c>
    </row>
    <row r="40" spans="1:7" ht="29.5" thickBot="1" x14ac:dyDescent="0.4">
      <c r="A40" s="306">
        <v>30</v>
      </c>
      <c r="B40" s="307" t="s">
        <v>597</v>
      </c>
      <c r="C40" s="325"/>
      <c r="D40" s="313">
        <v>10</v>
      </c>
      <c r="E40" s="325"/>
      <c r="F40" s="325"/>
      <c r="G40" s="555">
        <v>1</v>
      </c>
    </row>
    <row r="41" spans="1:7" ht="29.5" thickBot="1" x14ac:dyDescent="0.4">
      <c r="A41" s="306">
        <v>31</v>
      </c>
      <c r="B41" s="307" t="s">
        <v>598</v>
      </c>
      <c r="C41" s="325"/>
      <c r="D41" s="337">
        <v>4437</v>
      </c>
      <c r="E41" s="338">
        <v>112</v>
      </c>
      <c r="F41" s="282">
        <v>23134</v>
      </c>
      <c r="G41" s="309">
        <v>23533</v>
      </c>
    </row>
    <row r="42" spans="1:7" ht="15" thickBot="1" x14ac:dyDescent="0.4">
      <c r="A42" s="310">
        <v>32</v>
      </c>
      <c r="B42" s="302" t="s">
        <v>599</v>
      </c>
      <c r="C42" s="325"/>
      <c r="D42" s="339">
        <v>21566</v>
      </c>
      <c r="E42" s="340" t="s">
        <v>82</v>
      </c>
      <c r="F42" s="340" t="s">
        <v>82</v>
      </c>
      <c r="G42" s="556">
        <v>1078</v>
      </c>
    </row>
    <row r="43" spans="1:7" ht="15" thickBot="1" x14ac:dyDescent="0.4">
      <c r="A43" s="317">
        <v>33</v>
      </c>
      <c r="B43" s="318" t="s">
        <v>600</v>
      </c>
      <c r="C43" s="319"/>
      <c r="D43" s="319" t="s">
        <v>82</v>
      </c>
      <c r="E43" s="341" t="s">
        <v>82</v>
      </c>
      <c r="F43" s="341" t="s">
        <v>82</v>
      </c>
      <c r="G43" s="321">
        <v>65538</v>
      </c>
    </row>
    <row r="44" spans="1:7" ht="15" thickBot="1" x14ac:dyDescent="0.4">
      <c r="A44" s="317">
        <v>34</v>
      </c>
      <c r="B44" s="342" t="s">
        <v>601</v>
      </c>
      <c r="C44" s="319"/>
      <c r="D44" s="319"/>
      <c r="E44" s="320"/>
      <c r="F44" s="320"/>
      <c r="G44" s="343">
        <v>1.3723000000000001</v>
      </c>
    </row>
  </sheetData>
  <mergeCells count="5">
    <mergeCell ref="A5:B5"/>
    <mergeCell ref="A6:B7"/>
    <mergeCell ref="C6:F6"/>
    <mergeCell ref="G6:G7"/>
    <mergeCell ref="A23:G23"/>
  </mergeCells>
  <pageMargins left="0.7" right="0.7" top="0.75" bottom="0.75" header="0.3" footer="0.3"/>
  <pageSetup paperSize="9" scale="7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31B21-98A4-4ACD-9333-C1BE9F2E8C4D}">
  <sheetPr>
    <pageSetUpPr fitToPage="1"/>
  </sheetPr>
  <dimension ref="A2:C21"/>
  <sheetViews>
    <sheetView workbookViewId="0">
      <selection activeCell="A3" sqref="A3"/>
    </sheetView>
  </sheetViews>
  <sheetFormatPr defaultRowHeight="14.5" x14ac:dyDescent="0.35"/>
  <cols>
    <col min="1" max="1" width="5.54296875" customWidth="1"/>
    <col min="2" max="2" width="50.7265625" customWidth="1"/>
    <col min="3" max="3" width="28.54296875" customWidth="1"/>
  </cols>
  <sheetData>
    <row r="2" spans="1:3" ht="18.5" x14ac:dyDescent="0.45">
      <c r="A2" s="178" t="s">
        <v>603</v>
      </c>
      <c r="B2" s="179"/>
      <c r="C2" s="179"/>
    </row>
    <row r="3" spans="1:3" ht="18.5" x14ac:dyDescent="0.35">
      <c r="A3" s="179"/>
      <c r="B3" s="179"/>
      <c r="C3" s="179"/>
    </row>
    <row r="5" spans="1:3" x14ac:dyDescent="0.35">
      <c r="A5" s="3"/>
      <c r="B5" s="3"/>
      <c r="C5" s="180" t="s">
        <v>22</v>
      </c>
    </row>
    <row r="6" spans="1:3" x14ac:dyDescent="0.35">
      <c r="A6" s="3"/>
      <c r="B6" s="3"/>
      <c r="C6" s="181" t="s">
        <v>604</v>
      </c>
    </row>
    <row r="7" spans="1:3" x14ac:dyDescent="0.35">
      <c r="A7" s="182">
        <v>1</v>
      </c>
      <c r="B7" s="183" t="s">
        <v>605</v>
      </c>
      <c r="C7" s="184">
        <f>105880088674.8/1000000</f>
        <v>105880.0886748</v>
      </c>
    </row>
    <row r="8" spans="1:3" ht="43.5" x14ac:dyDescent="0.35">
      <c r="A8" s="33">
        <v>2</v>
      </c>
      <c r="B8" s="183" t="s">
        <v>606</v>
      </c>
      <c r="C8" s="185"/>
    </row>
    <row r="9" spans="1:3" ht="43.5" x14ac:dyDescent="0.35">
      <c r="A9" s="33">
        <v>3</v>
      </c>
      <c r="B9" s="183" t="s">
        <v>607</v>
      </c>
      <c r="C9" s="186" t="s">
        <v>82</v>
      </c>
    </row>
    <row r="10" spans="1:3" ht="29" x14ac:dyDescent="0.35">
      <c r="A10" s="33">
        <v>4</v>
      </c>
      <c r="B10" s="118" t="s">
        <v>608</v>
      </c>
      <c r="C10" s="186" t="s">
        <v>82</v>
      </c>
    </row>
    <row r="11" spans="1:3" ht="58" x14ac:dyDescent="0.35">
      <c r="A11" s="33">
        <v>5</v>
      </c>
      <c r="B11" s="187" t="s">
        <v>609</v>
      </c>
      <c r="C11" s="186" t="s">
        <v>82</v>
      </c>
    </row>
    <row r="12" spans="1:3" ht="29" x14ac:dyDescent="0.35">
      <c r="A12" s="33">
        <v>6</v>
      </c>
      <c r="B12" s="183" t="s">
        <v>610</v>
      </c>
      <c r="C12" s="188" t="s">
        <v>82</v>
      </c>
    </row>
    <row r="13" spans="1:3" x14ac:dyDescent="0.35">
      <c r="A13" s="33">
        <v>7</v>
      </c>
      <c r="B13" s="183" t="s">
        <v>611</v>
      </c>
      <c r="C13" s="189" t="s">
        <v>82</v>
      </c>
    </row>
    <row r="14" spans="1:3" x14ac:dyDescent="0.35">
      <c r="A14" s="33">
        <v>8</v>
      </c>
      <c r="B14" s="183" t="s">
        <v>612</v>
      </c>
      <c r="C14" s="186">
        <f>545854144.83/1000000</f>
        <v>545.85414483</v>
      </c>
    </row>
    <row r="15" spans="1:3" x14ac:dyDescent="0.35">
      <c r="A15" s="33">
        <v>9</v>
      </c>
      <c r="B15" s="183" t="s">
        <v>613</v>
      </c>
      <c r="C15" s="186">
        <f>-3955647.61/1000000</f>
        <v>-3.9556476099999998</v>
      </c>
    </row>
    <row r="16" spans="1:3" ht="29" x14ac:dyDescent="0.35">
      <c r="A16" s="33">
        <v>10</v>
      </c>
      <c r="B16" s="183" t="s">
        <v>614</v>
      </c>
      <c r="C16" s="186">
        <f>19530758786.99/1000000</f>
        <v>19530.758786990002</v>
      </c>
    </row>
    <row r="17" spans="1:3" ht="43.5" x14ac:dyDescent="0.35">
      <c r="A17" s="33">
        <v>11</v>
      </c>
      <c r="B17" s="187" t="s">
        <v>615</v>
      </c>
      <c r="C17" s="190" t="s">
        <v>82</v>
      </c>
    </row>
    <row r="18" spans="1:3" ht="43.5" x14ac:dyDescent="0.35">
      <c r="A18" s="33" t="s">
        <v>83</v>
      </c>
      <c r="B18" s="187" t="s">
        <v>616</v>
      </c>
      <c r="C18" s="191" t="s">
        <v>82</v>
      </c>
    </row>
    <row r="19" spans="1:3" ht="43.5" x14ac:dyDescent="0.35">
      <c r="A19" s="33" t="s">
        <v>84</v>
      </c>
      <c r="B19" s="187" t="s">
        <v>617</v>
      </c>
      <c r="C19" s="191" t="s">
        <v>82</v>
      </c>
    </row>
    <row r="20" spans="1:3" x14ac:dyDescent="0.35">
      <c r="A20" s="33">
        <v>12</v>
      </c>
      <c r="B20" s="183" t="s">
        <v>618</v>
      </c>
      <c r="C20" s="186">
        <f>-1468464089.69/1000000</f>
        <v>-1468.46408969</v>
      </c>
    </row>
    <row r="21" spans="1:3" x14ac:dyDescent="0.35">
      <c r="A21" s="33">
        <v>13</v>
      </c>
      <c r="B21" s="373" t="s">
        <v>619</v>
      </c>
      <c r="C21" s="557">
        <f>SUM(C7:C20)</f>
        <v>124484.28186932001</v>
      </c>
    </row>
  </sheetData>
  <pageMargins left="0.7" right="0.7" top="0.75" bottom="0.75" header="0.3" footer="0.3"/>
  <pageSetup paperSize="9" scale="7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75327-E684-419A-A57F-B8A45B2B7692}">
  <sheetPr>
    <pageSetUpPr fitToPage="1"/>
  </sheetPr>
  <dimension ref="A2:D72"/>
  <sheetViews>
    <sheetView workbookViewId="0">
      <selection activeCell="B13" sqref="B13"/>
    </sheetView>
  </sheetViews>
  <sheetFormatPr defaultRowHeight="14.5" x14ac:dyDescent="0.35"/>
  <cols>
    <col min="2" max="2" width="46.81640625" customWidth="1"/>
    <col min="3" max="3" width="17.81640625" customWidth="1"/>
    <col min="4" max="4" width="19.81640625" customWidth="1"/>
  </cols>
  <sheetData>
    <row r="2" spans="1:4" ht="18.5" x14ac:dyDescent="0.45">
      <c r="A2" s="178" t="s">
        <v>621</v>
      </c>
    </row>
    <row r="3" spans="1:4" x14ac:dyDescent="0.35">
      <c r="A3" s="193"/>
    </row>
    <row r="4" spans="1:4" x14ac:dyDescent="0.35">
      <c r="A4" s="193"/>
      <c r="B4" s="558"/>
      <c r="C4" s="194" t="s">
        <v>622</v>
      </c>
      <c r="D4" s="194"/>
    </row>
    <row r="5" spans="1:4" x14ac:dyDescent="0.35">
      <c r="A5" s="195"/>
      <c r="B5" s="196"/>
      <c r="C5" s="79" t="s">
        <v>22</v>
      </c>
      <c r="D5" s="79" t="s">
        <v>23</v>
      </c>
    </row>
    <row r="6" spans="1:4" x14ac:dyDescent="0.35">
      <c r="A6" s="197"/>
      <c r="B6" s="198"/>
      <c r="C6" s="79" t="s">
        <v>85</v>
      </c>
      <c r="D6" s="79">
        <v>2021</v>
      </c>
    </row>
    <row r="7" spans="1:4" x14ac:dyDescent="0.35">
      <c r="A7" s="199" t="s">
        <v>623</v>
      </c>
      <c r="B7" s="200"/>
      <c r="C7" s="200"/>
      <c r="D7" s="201"/>
    </row>
    <row r="8" spans="1:4" ht="29" x14ac:dyDescent="0.35">
      <c r="A8" s="79">
        <v>1</v>
      </c>
      <c r="B8" s="187" t="s">
        <v>624</v>
      </c>
      <c r="C8" s="202">
        <f>105685511498.81/1000000</f>
        <v>105685.51149881</v>
      </c>
      <c r="D8" s="203">
        <v>107306.2</v>
      </c>
    </row>
    <row r="9" spans="1:4" ht="43.5" x14ac:dyDescent="0.35">
      <c r="A9" s="204">
        <v>2</v>
      </c>
      <c r="B9" s="187" t="s">
        <v>625</v>
      </c>
      <c r="C9" s="205" t="s">
        <v>82</v>
      </c>
      <c r="D9" s="205" t="s">
        <v>82</v>
      </c>
    </row>
    <row r="10" spans="1:4" ht="29" x14ac:dyDescent="0.35">
      <c r="A10" s="204">
        <v>3</v>
      </c>
      <c r="B10" s="187" t="s">
        <v>626</v>
      </c>
      <c r="C10" s="205" t="s">
        <v>82</v>
      </c>
      <c r="D10" s="205" t="s">
        <v>82</v>
      </c>
    </row>
    <row r="11" spans="1:4" ht="29" x14ac:dyDescent="0.35">
      <c r="A11" s="204">
        <v>4</v>
      </c>
      <c r="B11" s="187" t="s">
        <v>627</v>
      </c>
      <c r="C11" s="205" t="s">
        <v>82</v>
      </c>
      <c r="D11" s="205" t="s">
        <v>82</v>
      </c>
    </row>
    <row r="12" spans="1:4" ht="29" x14ac:dyDescent="0.35">
      <c r="A12" s="204">
        <v>5</v>
      </c>
      <c r="B12" s="206" t="s">
        <v>628</v>
      </c>
      <c r="C12" s="207" t="s">
        <v>82</v>
      </c>
      <c r="D12" s="205" t="s">
        <v>82</v>
      </c>
    </row>
    <row r="13" spans="1:4" ht="29" x14ac:dyDescent="0.35">
      <c r="A13" s="79">
        <v>6</v>
      </c>
      <c r="B13" s="187" t="s">
        <v>629</v>
      </c>
      <c r="C13" s="202">
        <f>-1378053418.26/1000000</f>
        <v>-1378.0534182599999</v>
      </c>
      <c r="D13" s="203">
        <v>-797.5</v>
      </c>
    </row>
    <row r="14" spans="1:4" ht="29" x14ac:dyDescent="0.35">
      <c r="A14" s="559">
        <v>7</v>
      </c>
      <c r="B14" s="208" t="s">
        <v>630</v>
      </c>
      <c r="C14" s="222">
        <f>SUM(C8:C13)</f>
        <v>104307.45808055</v>
      </c>
      <c r="D14" s="222">
        <f>SUM(D8:D13)</f>
        <v>106508.7</v>
      </c>
    </row>
    <row r="15" spans="1:4" x14ac:dyDescent="0.35">
      <c r="A15" s="199" t="s">
        <v>631</v>
      </c>
      <c r="B15" s="200"/>
      <c r="C15" s="200"/>
      <c r="D15" s="201"/>
    </row>
    <row r="16" spans="1:4" ht="29" x14ac:dyDescent="0.35">
      <c r="A16" s="4">
        <v>8</v>
      </c>
      <c r="B16" s="209" t="s">
        <v>632</v>
      </c>
      <c r="C16" s="191">
        <f>135447471.01/1000000</f>
        <v>135.44747100999999</v>
      </c>
      <c r="D16" s="203">
        <v>159.30000000000001</v>
      </c>
    </row>
    <row r="17" spans="1:4" ht="43.5" x14ac:dyDescent="0.35">
      <c r="A17" s="4" t="s">
        <v>86</v>
      </c>
      <c r="B17" s="210" t="s">
        <v>633</v>
      </c>
      <c r="C17" s="211" t="s">
        <v>82</v>
      </c>
      <c r="D17" s="202" t="s">
        <v>82</v>
      </c>
    </row>
    <row r="18" spans="1:4" ht="29" x14ac:dyDescent="0.35">
      <c r="A18" s="4">
        <v>9</v>
      </c>
      <c r="B18" s="187" t="s">
        <v>634</v>
      </c>
      <c r="C18" s="191">
        <f>504237930.54/1000000</f>
        <v>504.23793054000004</v>
      </c>
      <c r="D18" s="203">
        <v>398.4</v>
      </c>
    </row>
    <row r="19" spans="1:4" ht="43.5" x14ac:dyDescent="0.35">
      <c r="A19" s="4" t="s">
        <v>87</v>
      </c>
      <c r="B19" s="212" t="s">
        <v>635</v>
      </c>
      <c r="C19" s="211" t="s">
        <v>82</v>
      </c>
      <c r="D19" s="205" t="s">
        <v>82</v>
      </c>
    </row>
    <row r="20" spans="1:4" ht="29" x14ac:dyDescent="0.35">
      <c r="A20" s="4" t="s">
        <v>88</v>
      </c>
      <c r="B20" s="212" t="s">
        <v>636</v>
      </c>
      <c r="C20" s="211" t="s">
        <v>82</v>
      </c>
      <c r="D20" s="205" t="s">
        <v>82</v>
      </c>
    </row>
    <row r="21" spans="1:4" ht="29" x14ac:dyDescent="0.35">
      <c r="A21" s="213">
        <v>10</v>
      </c>
      <c r="B21" s="214" t="s">
        <v>637</v>
      </c>
      <c r="C21" s="205" t="s">
        <v>82</v>
      </c>
      <c r="D21" s="205" t="s">
        <v>82</v>
      </c>
    </row>
    <row r="22" spans="1:4" ht="29" x14ac:dyDescent="0.35">
      <c r="A22" s="213" t="s">
        <v>89</v>
      </c>
      <c r="B22" s="215" t="s">
        <v>638</v>
      </c>
      <c r="C22" s="205" t="s">
        <v>82</v>
      </c>
      <c r="D22" s="205" t="s">
        <v>82</v>
      </c>
    </row>
    <row r="23" spans="1:4" ht="29" x14ac:dyDescent="0.35">
      <c r="A23" s="213" t="s">
        <v>90</v>
      </c>
      <c r="B23" s="216" t="s">
        <v>639</v>
      </c>
      <c r="C23" s="205" t="s">
        <v>82</v>
      </c>
      <c r="D23" s="205" t="s">
        <v>82</v>
      </c>
    </row>
    <row r="24" spans="1:4" ht="29" x14ac:dyDescent="0.35">
      <c r="A24" s="4">
        <v>11</v>
      </c>
      <c r="B24" s="187" t="s">
        <v>640</v>
      </c>
      <c r="C24" s="205" t="s">
        <v>82</v>
      </c>
      <c r="D24" s="205" t="s">
        <v>82</v>
      </c>
    </row>
    <row r="25" spans="1:4" ht="29" x14ac:dyDescent="0.35">
      <c r="A25" s="4">
        <v>12</v>
      </c>
      <c r="B25" s="187" t="s">
        <v>641</v>
      </c>
      <c r="C25" s="211" t="s">
        <v>82</v>
      </c>
      <c r="D25" s="205" t="s">
        <v>82</v>
      </c>
    </row>
    <row r="26" spans="1:4" x14ac:dyDescent="0.35">
      <c r="A26" s="217">
        <v>13</v>
      </c>
      <c r="B26" s="221" t="s">
        <v>642</v>
      </c>
      <c r="C26" s="222">
        <f>SUM(C16:C25)</f>
        <v>639.68540155000005</v>
      </c>
      <c r="D26" s="222">
        <f>SUM(D16:D25)</f>
        <v>557.70000000000005</v>
      </c>
    </row>
    <row r="27" spans="1:4" x14ac:dyDescent="0.35">
      <c r="A27" s="218" t="s">
        <v>643</v>
      </c>
      <c r="B27" s="219"/>
      <c r="C27" s="219"/>
      <c r="D27" s="220"/>
    </row>
    <row r="28" spans="1:4" ht="29" x14ac:dyDescent="0.35">
      <c r="A28" s="79">
        <v>14</v>
      </c>
      <c r="B28" s="187" t="s">
        <v>644</v>
      </c>
      <c r="C28" s="191">
        <f>10335247.84/1000000</f>
        <v>10.335247839999999</v>
      </c>
      <c r="D28" s="203">
        <v>9.3000000000000007</v>
      </c>
    </row>
    <row r="29" spans="1:4" ht="29" x14ac:dyDescent="0.35">
      <c r="A29" s="79">
        <v>15</v>
      </c>
      <c r="B29" s="187" t="s">
        <v>645</v>
      </c>
      <c r="C29" s="191">
        <f>-3955647.61/1000000</f>
        <v>-3.9556476099999998</v>
      </c>
      <c r="D29" s="203">
        <v>51.6</v>
      </c>
    </row>
    <row r="30" spans="1:4" x14ac:dyDescent="0.35">
      <c r="A30" s="79">
        <v>16</v>
      </c>
      <c r="B30" s="187" t="s">
        <v>646</v>
      </c>
      <c r="C30" s="205" t="s">
        <v>82</v>
      </c>
      <c r="D30" s="205" t="s">
        <v>82</v>
      </c>
    </row>
    <row r="31" spans="1:4" ht="29" x14ac:dyDescent="0.35">
      <c r="A31" s="4" t="s">
        <v>91</v>
      </c>
      <c r="B31" s="187" t="s">
        <v>647</v>
      </c>
      <c r="C31" s="205" t="s">
        <v>82</v>
      </c>
      <c r="D31" s="205" t="s">
        <v>82</v>
      </c>
    </row>
    <row r="32" spans="1:4" x14ac:dyDescent="0.35">
      <c r="A32" s="4">
        <v>17</v>
      </c>
      <c r="B32" s="187" t="s">
        <v>648</v>
      </c>
      <c r="C32" s="205" t="s">
        <v>82</v>
      </c>
      <c r="D32" s="205" t="s">
        <v>82</v>
      </c>
    </row>
    <row r="33" spans="1:4" x14ac:dyDescent="0.35">
      <c r="A33" s="4" t="s">
        <v>92</v>
      </c>
      <c r="B33" s="187" t="s">
        <v>649</v>
      </c>
      <c r="C33" s="205" t="s">
        <v>82</v>
      </c>
      <c r="D33" s="205" t="s">
        <v>82</v>
      </c>
    </row>
    <row r="34" spans="1:4" x14ac:dyDescent="0.35">
      <c r="A34" s="217">
        <v>18</v>
      </c>
      <c r="B34" s="221" t="s">
        <v>650</v>
      </c>
      <c r="C34" s="222">
        <f>SUM(C28:C33)</f>
        <v>6.3796002299999994</v>
      </c>
      <c r="D34" s="222">
        <f>SUM(D28:D33)</f>
        <v>60.900000000000006</v>
      </c>
    </row>
    <row r="35" spans="1:4" x14ac:dyDescent="0.35">
      <c r="A35" s="199" t="s">
        <v>651</v>
      </c>
      <c r="B35" s="200"/>
      <c r="C35" s="200"/>
      <c r="D35" s="201"/>
    </row>
    <row r="36" spans="1:4" x14ac:dyDescent="0.35">
      <c r="A36" s="79">
        <v>19</v>
      </c>
      <c r="B36" s="187" t="s">
        <v>652</v>
      </c>
      <c r="C36" s="191">
        <f>43433295321.16/1000000</f>
        <v>43433.295321160003</v>
      </c>
      <c r="D36" s="203">
        <v>42383.5</v>
      </c>
    </row>
    <row r="37" spans="1:4" ht="29" x14ac:dyDescent="0.35">
      <c r="A37" s="79">
        <v>20</v>
      </c>
      <c r="B37" s="187" t="s">
        <v>653</v>
      </c>
      <c r="C37" s="191">
        <f>-23902536534.17/1000000</f>
        <v>-23902.536534169998</v>
      </c>
      <c r="D37" s="203">
        <v>-22384.400000000001</v>
      </c>
    </row>
    <row r="38" spans="1:4" ht="43.5" x14ac:dyDescent="0.35">
      <c r="A38" s="79">
        <v>21</v>
      </c>
      <c r="B38" s="118" t="s">
        <v>654</v>
      </c>
      <c r="C38" s="205" t="s">
        <v>82</v>
      </c>
      <c r="D38" s="205" t="s">
        <v>82</v>
      </c>
    </row>
    <row r="39" spans="1:4" x14ac:dyDescent="0.35">
      <c r="A39" s="217">
        <v>22</v>
      </c>
      <c r="B39" s="221" t="s">
        <v>655</v>
      </c>
      <c r="C39" s="222">
        <f>SUM(C36:C38)</f>
        <v>19530.758786990005</v>
      </c>
      <c r="D39" s="222">
        <f>SUM(D36:D38)</f>
        <v>19999.099999999999</v>
      </c>
    </row>
    <row r="40" spans="1:4" x14ac:dyDescent="0.35">
      <c r="A40" s="223" t="s">
        <v>656</v>
      </c>
      <c r="B40" s="224"/>
      <c r="C40" s="224"/>
      <c r="D40" s="225"/>
    </row>
    <row r="41" spans="1:4" ht="29" x14ac:dyDescent="0.35">
      <c r="A41" s="4" t="s">
        <v>93</v>
      </c>
      <c r="B41" s="187" t="s">
        <v>657</v>
      </c>
      <c r="C41" s="205" t="s">
        <v>82</v>
      </c>
      <c r="D41" s="205" t="s">
        <v>82</v>
      </c>
    </row>
    <row r="42" spans="1:4" ht="29" x14ac:dyDescent="0.35">
      <c r="A42" s="4" t="s">
        <v>94</v>
      </c>
      <c r="B42" s="187" t="s">
        <v>658</v>
      </c>
      <c r="C42" s="205" t="s">
        <v>82</v>
      </c>
      <c r="D42" s="205" t="s">
        <v>82</v>
      </c>
    </row>
    <row r="43" spans="1:4" ht="29" x14ac:dyDescent="0.35">
      <c r="A43" s="226" t="s">
        <v>95</v>
      </c>
      <c r="B43" s="210" t="s">
        <v>659</v>
      </c>
      <c r="C43" s="205" t="s">
        <v>82</v>
      </c>
      <c r="D43" s="205" t="s">
        <v>82</v>
      </c>
    </row>
    <row r="44" spans="1:4" ht="29" x14ac:dyDescent="0.35">
      <c r="A44" s="226" t="s">
        <v>96</v>
      </c>
      <c r="B44" s="210" t="s">
        <v>660</v>
      </c>
      <c r="C44" s="205" t="s">
        <v>82</v>
      </c>
      <c r="D44" s="205" t="s">
        <v>82</v>
      </c>
    </row>
    <row r="45" spans="1:4" ht="43.5" x14ac:dyDescent="0.35">
      <c r="A45" s="226" t="s">
        <v>97</v>
      </c>
      <c r="B45" s="227" t="s">
        <v>661</v>
      </c>
      <c r="C45" s="205" t="s">
        <v>82</v>
      </c>
      <c r="D45" s="205" t="s">
        <v>82</v>
      </c>
    </row>
    <row r="46" spans="1:4" ht="29" x14ac:dyDescent="0.35">
      <c r="A46" s="226" t="s">
        <v>98</v>
      </c>
      <c r="B46" s="210" t="s">
        <v>662</v>
      </c>
      <c r="C46" s="205" t="s">
        <v>82</v>
      </c>
      <c r="D46" s="205" t="s">
        <v>82</v>
      </c>
    </row>
    <row r="47" spans="1:4" ht="29" x14ac:dyDescent="0.35">
      <c r="A47" s="226" t="s">
        <v>99</v>
      </c>
      <c r="B47" s="210" t="s">
        <v>663</v>
      </c>
      <c r="C47" s="205" t="s">
        <v>82</v>
      </c>
      <c r="D47" s="205" t="s">
        <v>82</v>
      </c>
    </row>
    <row r="48" spans="1:4" ht="29" x14ac:dyDescent="0.35">
      <c r="A48" s="226" t="s">
        <v>100</v>
      </c>
      <c r="B48" s="210" t="s">
        <v>664</v>
      </c>
      <c r="C48" s="205" t="s">
        <v>82</v>
      </c>
      <c r="D48" s="205" t="s">
        <v>82</v>
      </c>
    </row>
    <row r="49" spans="1:4" ht="43.5" x14ac:dyDescent="0.35">
      <c r="A49" s="226" t="s">
        <v>101</v>
      </c>
      <c r="B49" s="210" t="s">
        <v>665</v>
      </c>
      <c r="C49" s="205" t="s">
        <v>82</v>
      </c>
      <c r="D49" s="205" t="s">
        <v>82</v>
      </c>
    </row>
    <row r="50" spans="1:4" ht="29" x14ac:dyDescent="0.35">
      <c r="A50" s="226" t="s">
        <v>102</v>
      </c>
      <c r="B50" s="210" t="s">
        <v>666</v>
      </c>
      <c r="C50" s="205" t="s">
        <v>82</v>
      </c>
      <c r="D50" s="205" t="s">
        <v>82</v>
      </c>
    </row>
    <row r="51" spans="1:4" x14ac:dyDescent="0.35">
      <c r="A51" s="228" t="s">
        <v>103</v>
      </c>
      <c r="B51" s="229" t="s">
        <v>667</v>
      </c>
      <c r="C51" s="205" t="s">
        <v>82</v>
      </c>
      <c r="D51" s="205" t="s">
        <v>82</v>
      </c>
    </row>
    <row r="52" spans="1:4" x14ac:dyDescent="0.35">
      <c r="A52" s="230" t="s">
        <v>668</v>
      </c>
      <c r="B52" s="231"/>
      <c r="C52" s="231"/>
      <c r="D52" s="232"/>
    </row>
    <row r="53" spans="1:4" x14ac:dyDescent="0.35">
      <c r="A53" s="79">
        <v>23</v>
      </c>
      <c r="B53" s="233" t="s">
        <v>669</v>
      </c>
      <c r="C53" s="192">
        <f>9846510974.35/1000000</f>
        <v>9846.5109743499997</v>
      </c>
      <c r="D53" s="234">
        <v>9925.5</v>
      </c>
    </row>
    <row r="54" spans="1:4" x14ac:dyDescent="0.35">
      <c r="A54" s="235">
        <v>24</v>
      </c>
      <c r="B54" s="560" t="s">
        <v>670</v>
      </c>
      <c r="C54" s="236">
        <f>+C14+C26+C34+C39</f>
        <v>124484.28186932</v>
      </c>
      <c r="D54" s="236">
        <f>+D14+D26+D34+D39</f>
        <v>127126.39999999999</v>
      </c>
    </row>
    <row r="55" spans="1:4" x14ac:dyDescent="0.35">
      <c r="A55" s="230" t="s">
        <v>671</v>
      </c>
      <c r="B55" s="231"/>
      <c r="C55" s="231"/>
      <c r="D55" s="232"/>
    </row>
    <row r="56" spans="1:4" x14ac:dyDescent="0.35">
      <c r="A56" s="79">
        <v>25</v>
      </c>
      <c r="B56" s="3" t="s">
        <v>672</v>
      </c>
      <c r="C56" s="237">
        <v>7.9098000000000002E-2</v>
      </c>
      <c r="D56" s="238">
        <v>7.8E-2</v>
      </c>
    </row>
    <row r="57" spans="1:4" ht="43.5" x14ac:dyDescent="0.35">
      <c r="A57" s="4" t="s">
        <v>104</v>
      </c>
      <c r="B57" s="187" t="s">
        <v>673</v>
      </c>
      <c r="C57" s="237">
        <v>7.9098000000000002E-2</v>
      </c>
      <c r="D57" s="238">
        <v>7.8E-2</v>
      </c>
    </row>
    <row r="58" spans="1:4" ht="29" x14ac:dyDescent="0.35">
      <c r="A58" s="4" t="s">
        <v>105</v>
      </c>
      <c r="B58" s="118" t="s">
        <v>674</v>
      </c>
      <c r="C58" s="237">
        <v>7.9100000000000004E-2</v>
      </c>
      <c r="D58" s="238">
        <v>7.8E-2</v>
      </c>
    </row>
    <row r="59" spans="1:4" x14ac:dyDescent="0.35">
      <c r="A59" s="4">
        <v>26</v>
      </c>
      <c r="B59" s="187" t="s">
        <v>675</v>
      </c>
      <c r="C59" s="239">
        <v>0.03</v>
      </c>
      <c r="D59" s="238">
        <v>0.03</v>
      </c>
    </row>
    <row r="60" spans="1:4" ht="29" x14ac:dyDescent="0.35">
      <c r="A60" s="4" t="s">
        <v>106</v>
      </c>
      <c r="B60" s="187" t="s">
        <v>676</v>
      </c>
      <c r="C60" s="211" t="s">
        <v>82</v>
      </c>
      <c r="D60" s="211" t="s">
        <v>82</v>
      </c>
    </row>
    <row r="61" spans="1:4" x14ac:dyDescent="0.35">
      <c r="A61" s="4" t="s">
        <v>107</v>
      </c>
      <c r="B61" s="187" t="s">
        <v>677</v>
      </c>
      <c r="C61" s="211" t="s">
        <v>82</v>
      </c>
      <c r="D61" s="211" t="s">
        <v>82</v>
      </c>
    </row>
    <row r="62" spans="1:4" x14ac:dyDescent="0.35">
      <c r="A62" s="4">
        <v>27</v>
      </c>
      <c r="B62" s="118" t="s">
        <v>678</v>
      </c>
      <c r="C62" s="211" t="s">
        <v>82</v>
      </c>
      <c r="D62" s="211" t="s">
        <v>82</v>
      </c>
    </row>
    <row r="63" spans="1:4" x14ac:dyDescent="0.35">
      <c r="A63" s="78" t="s">
        <v>108</v>
      </c>
      <c r="B63" s="118" t="s">
        <v>679</v>
      </c>
      <c r="C63" s="205" t="s">
        <v>82</v>
      </c>
      <c r="D63" s="211" t="s">
        <v>82</v>
      </c>
    </row>
    <row r="64" spans="1:4" x14ac:dyDescent="0.35">
      <c r="A64" s="223" t="s">
        <v>680</v>
      </c>
      <c r="B64" s="224"/>
      <c r="C64" s="224"/>
      <c r="D64" s="225"/>
    </row>
    <row r="65" spans="1:4" ht="29" x14ac:dyDescent="0.35">
      <c r="A65" s="78" t="s">
        <v>109</v>
      </c>
      <c r="B65" s="118" t="s">
        <v>681</v>
      </c>
      <c r="C65" s="205" t="s">
        <v>82</v>
      </c>
      <c r="D65" s="205" t="s">
        <v>82</v>
      </c>
    </row>
    <row r="66" spans="1:4" x14ac:dyDescent="0.35">
      <c r="A66" s="230" t="s">
        <v>682</v>
      </c>
      <c r="B66" s="231"/>
      <c r="C66" s="231"/>
      <c r="D66" s="232"/>
    </row>
    <row r="67" spans="1:4" ht="58" x14ac:dyDescent="0.35">
      <c r="A67" s="4">
        <v>28</v>
      </c>
      <c r="B67" s="187" t="s">
        <v>683</v>
      </c>
      <c r="C67" s="240" t="s">
        <v>82</v>
      </c>
      <c r="D67" s="205" t="s">
        <v>82</v>
      </c>
    </row>
    <row r="68" spans="1:4" ht="58" x14ac:dyDescent="0.35">
      <c r="A68" s="4">
        <v>29</v>
      </c>
      <c r="B68" s="187" t="s">
        <v>684</v>
      </c>
      <c r="C68" s="191">
        <f>6379600.23/1000000</f>
        <v>6.3796002300000003</v>
      </c>
      <c r="D68" s="241">
        <v>61</v>
      </c>
    </row>
    <row r="69" spans="1:4" ht="87" x14ac:dyDescent="0.35">
      <c r="A69" s="78">
        <v>30</v>
      </c>
      <c r="B69" s="118" t="s">
        <v>685</v>
      </c>
      <c r="C69" s="191">
        <f>124477902269.1/1000000</f>
        <v>124477.9022691</v>
      </c>
      <c r="D69" s="190">
        <v>127065.5</v>
      </c>
    </row>
    <row r="70" spans="1:4" ht="87" x14ac:dyDescent="0.35">
      <c r="A70" s="78" t="s">
        <v>110</v>
      </c>
      <c r="B70" s="118" t="s">
        <v>686</v>
      </c>
      <c r="C70" s="191">
        <f>124477902269.1/1000000</f>
        <v>124477.9022691</v>
      </c>
      <c r="D70" s="190">
        <v>127065.5</v>
      </c>
    </row>
    <row r="71" spans="1:4" ht="87" x14ac:dyDescent="0.35">
      <c r="A71" s="4">
        <v>31</v>
      </c>
      <c r="B71" s="187" t="s">
        <v>687</v>
      </c>
      <c r="C71" s="237">
        <v>7.9102000000000006E-2</v>
      </c>
      <c r="D71" s="242">
        <f>+D56</f>
        <v>7.8E-2</v>
      </c>
    </row>
    <row r="72" spans="1:4" ht="87" x14ac:dyDescent="0.35">
      <c r="A72" s="4" t="s">
        <v>111</v>
      </c>
      <c r="B72" s="187" t="s">
        <v>688</v>
      </c>
      <c r="C72" s="237">
        <v>7.9102000000000006E-2</v>
      </c>
      <c r="D72" s="242">
        <f>+D56</f>
        <v>7.8E-2</v>
      </c>
    </row>
  </sheetData>
  <mergeCells count="11">
    <mergeCell ref="A40:D40"/>
    <mergeCell ref="A52:D52"/>
    <mergeCell ref="A55:D55"/>
    <mergeCell ref="A64:D64"/>
    <mergeCell ref="A66:D66"/>
    <mergeCell ref="C4:D4"/>
    <mergeCell ref="A5:B6"/>
    <mergeCell ref="A7:D7"/>
    <mergeCell ref="A15:D15"/>
    <mergeCell ref="A27:D27"/>
    <mergeCell ref="A35:D35"/>
  </mergeCell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E339D-0B5C-44EC-AA55-127774BD3ABA}">
  <sheetPr>
    <pageSetUpPr fitToPage="1"/>
  </sheetPr>
  <dimension ref="A2:F122"/>
  <sheetViews>
    <sheetView workbookViewId="0">
      <selection activeCell="B14" sqref="B14"/>
    </sheetView>
  </sheetViews>
  <sheetFormatPr defaultRowHeight="14.5" x14ac:dyDescent="0.35"/>
  <cols>
    <col min="1" max="1" width="9" customWidth="1"/>
    <col min="2" max="2" width="38.54296875" customWidth="1"/>
    <col min="3" max="3" width="28.1796875" customWidth="1"/>
    <col min="4" max="4" width="51.7265625" customWidth="1"/>
  </cols>
  <sheetData>
    <row r="2" spans="1:4" ht="18.5" x14ac:dyDescent="0.35">
      <c r="A2" s="1" t="s">
        <v>147</v>
      </c>
    </row>
    <row r="3" spans="1:4" ht="18.5" x14ac:dyDescent="0.45">
      <c r="A3" s="2"/>
    </row>
    <row r="4" spans="1:4" x14ac:dyDescent="0.35">
      <c r="A4" s="3"/>
      <c r="B4" s="3"/>
      <c r="C4" s="117" t="s">
        <v>0</v>
      </c>
      <c r="D4" s="117" t="s">
        <v>1</v>
      </c>
    </row>
    <row r="5" spans="1:4" ht="29" x14ac:dyDescent="0.35">
      <c r="A5" s="3" t="s">
        <v>148</v>
      </c>
      <c r="B5" s="3"/>
      <c r="C5" s="117" t="s">
        <v>149</v>
      </c>
      <c r="D5" s="117" t="s">
        <v>150</v>
      </c>
    </row>
    <row r="6" spans="1:4" x14ac:dyDescent="0.35">
      <c r="A6" s="5" t="s">
        <v>151</v>
      </c>
      <c r="B6" s="6"/>
      <c r="C6" s="6"/>
      <c r="D6" s="7"/>
    </row>
    <row r="7" spans="1:4" ht="24" x14ac:dyDescent="0.35">
      <c r="A7" s="8">
        <v>1</v>
      </c>
      <c r="B7" s="9" t="s">
        <v>152</v>
      </c>
      <c r="C7" s="355">
        <f>'[1]EU CC1 DK'!C7</f>
        <v>2100</v>
      </c>
      <c r="D7" s="355" t="s">
        <v>153</v>
      </c>
    </row>
    <row r="8" spans="1:4" x14ac:dyDescent="0.35">
      <c r="A8" s="8"/>
      <c r="B8" s="9" t="s">
        <v>154</v>
      </c>
      <c r="C8" s="356"/>
      <c r="D8" s="12" t="s">
        <v>2</v>
      </c>
    </row>
    <row r="9" spans="1:4" x14ac:dyDescent="0.35">
      <c r="A9" s="8"/>
      <c r="B9" s="9" t="s">
        <v>155</v>
      </c>
      <c r="C9" s="356"/>
      <c r="D9" s="12" t="s">
        <v>2</v>
      </c>
    </row>
    <row r="10" spans="1:4" x14ac:dyDescent="0.35">
      <c r="A10" s="8"/>
      <c r="B10" s="9" t="s">
        <v>156</v>
      </c>
      <c r="C10" s="356"/>
      <c r="D10" s="12" t="s">
        <v>2</v>
      </c>
    </row>
    <row r="11" spans="1:4" x14ac:dyDescent="0.35">
      <c r="A11" s="8">
        <v>2</v>
      </c>
      <c r="B11" s="9" t="s">
        <v>157</v>
      </c>
      <c r="C11" s="355">
        <f>+'[1]EU CC1 DK'!C11</f>
        <v>6111.6111119999996</v>
      </c>
      <c r="D11" s="12" t="s">
        <v>158</v>
      </c>
    </row>
    <row r="12" spans="1:4" ht="24" x14ac:dyDescent="0.35">
      <c r="A12" s="8">
        <v>3</v>
      </c>
      <c r="B12" s="9" t="s">
        <v>159</v>
      </c>
      <c r="C12" s="357">
        <f>980455617/1000000</f>
        <v>980.45561699999996</v>
      </c>
      <c r="D12" s="12" t="s">
        <v>160</v>
      </c>
    </row>
    <row r="13" spans="1:4" x14ac:dyDescent="0.35">
      <c r="A13" s="8" t="s">
        <v>3</v>
      </c>
      <c r="B13" s="9" t="s">
        <v>161</v>
      </c>
      <c r="C13" s="13">
        <v>0</v>
      </c>
      <c r="D13" s="12" t="s">
        <v>2</v>
      </c>
    </row>
    <row r="14" spans="1:4" ht="36" x14ac:dyDescent="0.35">
      <c r="A14" s="8">
        <v>4</v>
      </c>
      <c r="B14" s="9" t="s">
        <v>162</v>
      </c>
      <c r="C14" s="10">
        <f>-515863146/1000000</f>
        <v>-515.86314600000003</v>
      </c>
      <c r="D14" s="12" t="s">
        <v>2</v>
      </c>
    </row>
    <row r="15" spans="1:4" ht="24" x14ac:dyDescent="0.35">
      <c r="A15" s="8">
        <v>5</v>
      </c>
      <c r="B15" s="9" t="s">
        <v>163</v>
      </c>
      <c r="C15" s="10">
        <f>1427490253/1000000</f>
        <v>1427.4902529999999</v>
      </c>
      <c r="D15" s="12" t="s">
        <v>164</v>
      </c>
    </row>
    <row r="16" spans="1:4" ht="24" x14ac:dyDescent="0.35">
      <c r="A16" s="8" t="s">
        <v>4</v>
      </c>
      <c r="B16" s="9" t="s">
        <v>165</v>
      </c>
      <c r="C16" s="10">
        <f>45291744/1000000</f>
        <v>45.291744000000001</v>
      </c>
      <c r="D16" s="12" t="s">
        <v>158</v>
      </c>
    </row>
    <row r="17" spans="1:4" ht="24" x14ac:dyDescent="0.35">
      <c r="A17" s="14">
        <v>6</v>
      </c>
      <c r="B17" s="15" t="s">
        <v>166</v>
      </c>
      <c r="C17" s="358">
        <f>SUM(C7:C16)</f>
        <v>10148.985579999999</v>
      </c>
      <c r="D17" s="12" t="s">
        <v>2</v>
      </c>
    </row>
    <row r="18" spans="1:4" x14ac:dyDescent="0.35">
      <c r="A18" s="17" t="s">
        <v>167</v>
      </c>
      <c r="B18" s="18"/>
      <c r="C18" s="18"/>
      <c r="D18" s="19"/>
    </row>
    <row r="19" spans="1:4" x14ac:dyDescent="0.35">
      <c r="A19" s="8">
        <v>7</v>
      </c>
      <c r="B19" s="20" t="s">
        <v>168</v>
      </c>
      <c r="C19" s="10">
        <f>-32485315/1000000</f>
        <v>-32.485315</v>
      </c>
      <c r="D19" s="21"/>
    </row>
    <row r="20" spans="1:4" ht="24" x14ac:dyDescent="0.35">
      <c r="A20" s="8">
        <v>8</v>
      </c>
      <c r="B20" s="20" t="s">
        <v>169</v>
      </c>
      <c r="C20" s="10">
        <f>-231610582/1000000</f>
        <v>-231.61058199999999</v>
      </c>
      <c r="D20" s="359" t="s">
        <v>170</v>
      </c>
    </row>
    <row r="21" spans="1:4" x14ac:dyDescent="0.35">
      <c r="A21" s="8">
        <v>9</v>
      </c>
      <c r="B21" s="20" t="s">
        <v>171</v>
      </c>
      <c r="C21" s="11" t="s">
        <v>2</v>
      </c>
      <c r="D21" s="21"/>
    </row>
    <row r="22" spans="1:4" ht="48" x14ac:dyDescent="0.35">
      <c r="A22" s="8">
        <v>10</v>
      </c>
      <c r="B22" s="20" t="s">
        <v>172</v>
      </c>
      <c r="C22" s="10">
        <f>-379999554/1000000</f>
        <v>-379.99955399999999</v>
      </c>
      <c r="D22" s="21"/>
    </row>
    <row r="23" spans="1:4" ht="36" x14ac:dyDescent="0.35">
      <c r="A23" s="8">
        <v>11</v>
      </c>
      <c r="B23" s="20" t="s">
        <v>173</v>
      </c>
      <c r="C23" s="13">
        <v>0</v>
      </c>
      <c r="D23" s="21"/>
    </row>
    <row r="24" spans="1:4" ht="24" x14ac:dyDescent="0.35">
      <c r="A24" s="8">
        <v>12</v>
      </c>
      <c r="B24" s="20" t="s">
        <v>174</v>
      </c>
      <c r="C24" s="13">
        <v>0</v>
      </c>
      <c r="D24" s="21"/>
    </row>
    <row r="25" spans="1:4" ht="24" x14ac:dyDescent="0.35">
      <c r="A25" s="8">
        <v>13</v>
      </c>
      <c r="B25" s="20" t="s">
        <v>175</v>
      </c>
      <c r="C25" s="13">
        <v>0</v>
      </c>
      <c r="D25" s="21"/>
    </row>
    <row r="26" spans="1:4" ht="24" x14ac:dyDescent="0.35">
      <c r="A26" s="8">
        <v>14</v>
      </c>
      <c r="B26" s="20" t="s">
        <v>176</v>
      </c>
      <c r="C26" s="13">
        <v>0</v>
      </c>
      <c r="D26" s="21"/>
    </row>
    <row r="27" spans="1:4" x14ac:dyDescent="0.35">
      <c r="A27" s="8">
        <v>15</v>
      </c>
      <c r="B27" s="20" t="s">
        <v>177</v>
      </c>
      <c r="C27" s="13">
        <v>0</v>
      </c>
      <c r="D27" s="21"/>
    </row>
    <row r="28" spans="1:4" ht="24" x14ac:dyDescent="0.35">
      <c r="A28" s="8">
        <v>16</v>
      </c>
      <c r="B28" s="20" t="s">
        <v>178</v>
      </c>
      <c r="C28" s="10">
        <f>-6447961/1000000</f>
        <v>-6.4479610000000003</v>
      </c>
      <c r="D28" s="21"/>
    </row>
    <row r="29" spans="1:4" ht="60" x14ac:dyDescent="0.35">
      <c r="A29" s="8">
        <v>17</v>
      </c>
      <c r="B29" s="20" t="s">
        <v>179</v>
      </c>
      <c r="C29" s="13">
        <v>0</v>
      </c>
      <c r="D29" s="21"/>
    </row>
    <row r="30" spans="1:4" ht="72" x14ac:dyDescent="0.35">
      <c r="A30" s="8">
        <v>18</v>
      </c>
      <c r="B30" s="20" t="s">
        <v>180</v>
      </c>
      <c r="C30" s="10">
        <f>-120564810/1000000</f>
        <v>-120.56480999999999</v>
      </c>
      <c r="D30" s="21"/>
    </row>
    <row r="31" spans="1:4" ht="60" x14ac:dyDescent="0.35">
      <c r="A31" s="8">
        <v>19</v>
      </c>
      <c r="B31" s="20" t="s">
        <v>181</v>
      </c>
      <c r="C31" s="13">
        <v>0</v>
      </c>
      <c r="D31" s="21"/>
    </row>
    <row r="32" spans="1:4" x14ac:dyDescent="0.35">
      <c r="A32" s="8">
        <v>20</v>
      </c>
      <c r="B32" s="20" t="s">
        <v>171</v>
      </c>
      <c r="C32" s="13" t="s">
        <v>2</v>
      </c>
      <c r="D32" s="21"/>
    </row>
    <row r="33" spans="1:6" ht="36" x14ac:dyDescent="0.35">
      <c r="A33" s="8" t="s">
        <v>5</v>
      </c>
      <c r="B33" s="20" t="s">
        <v>182</v>
      </c>
      <c r="C33" s="13">
        <v>0</v>
      </c>
      <c r="D33" s="21"/>
    </row>
    <row r="34" spans="1:6" ht="24" x14ac:dyDescent="0.35">
      <c r="A34" s="8" t="s">
        <v>6</v>
      </c>
      <c r="B34" s="20" t="s">
        <v>183</v>
      </c>
      <c r="C34" s="13">
        <v>0</v>
      </c>
      <c r="D34" s="21"/>
    </row>
    <row r="35" spans="1:6" x14ac:dyDescent="0.35">
      <c r="A35" s="8" t="s">
        <v>7</v>
      </c>
      <c r="B35" s="21" t="s">
        <v>184</v>
      </c>
      <c r="C35" s="13">
        <v>0</v>
      </c>
      <c r="D35" s="21"/>
    </row>
    <row r="36" spans="1:6" x14ac:dyDescent="0.35">
      <c r="A36" s="8" t="s">
        <v>8</v>
      </c>
      <c r="B36" s="20" t="s">
        <v>185</v>
      </c>
      <c r="C36" s="13">
        <v>0</v>
      </c>
      <c r="D36" s="21"/>
    </row>
    <row r="37" spans="1:6" ht="48" x14ac:dyDescent="0.35">
      <c r="A37" s="8">
        <v>21</v>
      </c>
      <c r="B37" s="20" t="s">
        <v>186</v>
      </c>
      <c r="C37" s="13">
        <v>0</v>
      </c>
      <c r="D37" s="21"/>
    </row>
    <row r="38" spans="1:6" ht="24" x14ac:dyDescent="0.35">
      <c r="A38" s="8">
        <v>22</v>
      </c>
      <c r="B38" s="20" t="s">
        <v>187</v>
      </c>
      <c r="C38" s="13">
        <v>0</v>
      </c>
      <c r="D38" s="21"/>
    </row>
    <row r="39" spans="1:6" ht="48" x14ac:dyDescent="0.35">
      <c r="A39" s="8">
        <v>23</v>
      </c>
      <c r="B39" s="20" t="s">
        <v>188</v>
      </c>
      <c r="C39" s="13">
        <v>0</v>
      </c>
      <c r="D39" s="21"/>
    </row>
    <row r="40" spans="1:6" x14ac:dyDescent="0.35">
      <c r="A40" s="8">
        <v>24</v>
      </c>
      <c r="B40" s="20" t="s">
        <v>171</v>
      </c>
      <c r="C40" s="13" t="s">
        <v>2</v>
      </c>
      <c r="D40" s="21"/>
    </row>
    <row r="41" spans="1:6" ht="24" x14ac:dyDescent="0.35">
      <c r="A41" s="8">
        <v>25</v>
      </c>
      <c r="B41" s="20" t="s">
        <v>189</v>
      </c>
      <c r="C41" s="13">
        <v>0</v>
      </c>
      <c r="D41" s="21"/>
    </row>
    <row r="42" spans="1:6" x14ac:dyDescent="0.35">
      <c r="A42" s="8" t="s">
        <v>9</v>
      </c>
      <c r="B42" s="20" t="s">
        <v>190</v>
      </c>
      <c r="C42" s="13">
        <v>0</v>
      </c>
      <c r="D42" s="21"/>
    </row>
    <row r="43" spans="1:6" ht="60" x14ac:dyDescent="0.35">
      <c r="A43" s="8" t="s">
        <v>10</v>
      </c>
      <c r="B43" s="20" t="s">
        <v>191</v>
      </c>
      <c r="C43" s="13">
        <v>0</v>
      </c>
      <c r="D43" s="21"/>
    </row>
    <row r="44" spans="1:6" x14ac:dyDescent="0.35">
      <c r="A44" s="8">
        <v>26</v>
      </c>
      <c r="B44" s="20" t="s">
        <v>171</v>
      </c>
      <c r="C44" s="11" t="s">
        <v>2</v>
      </c>
      <c r="D44" s="21"/>
    </row>
    <row r="45" spans="1:6" ht="24" x14ac:dyDescent="0.35">
      <c r="A45" s="8">
        <v>27</v>
      </c>
      <c r="B45" s="20" t="s">
        <v>192</v>
      </c>
      <c r="C45" s="13">
        <v>0</v>
      </c>
      <c r="D45" s="21"/>
    </row>
    <row r="46" spans="1:6" ht="24" x14ac:dyDescent="0.35">
      <c r="A46" s="8" t="s">
        <v>11</v>
      </c>
      <c r="B46" s="20" t="s">
        <v>193</v>
      </c>
      <c r="C46" s="10">
        <f>-233907587/1000000</f>
        <v>-233.90758700000001</v>
      </c>
      <c r="D46" s="21"/>
    </row>
    <row r="47" spans="1:6" ht="24" x14ac:dyDescent="0.35">
      <c r="A47" s="8">
        <v>28</v>
      </c>
      <c r="B47" s="22" t="s">
        <v>194</v>
      </c>
      <c r="C47" s="10">
        <f>-1005015809/1000000</f>
        <v>-1005.015809</v>
      </c>
      <c r="D47" s="21"/>
      <c r="E47" s="41"/>
      <c r="F47" s="41"/>
    </row>
    <row r="48" spans="1:6" x14ac:dyDescent="0.35">
      <c r="A48" s="8">
        <v>29</v>
      </c>
      <c r="B48" s="22" t="s">
        <v>195</v>
      </c>
      <c r="C48" s="16">
        <f>+C47+C17</f>
        <v>9143.9697709999982</v>
      </c>
      <c r="D48" s="21"/>
    </row>
    <row r="49" spans="1:4" x14ac:dyDescent="0.35">
      <c r="A49" s="17" t="s">
        <v>196</v>
      </c>
      <c r="B49" s="18"/>
      <c r="C49" s="18"/>
      <c r="D49" s="19"/>
    </row>
    <row r="50" spans="1:4" ht="24" x14ac:dyDescent="0.35">
      <c r="A50" s="8">
        <v>30</v>
      </c>
      <c r="B50" s="20" t="s">
        <v>152</v>
      </c>
      <c r="C50" s="10">
        <f>729700000/1000000</f>
        <v>729.7</v>
      </c>
      <c r="D50" s="359" t="s">
        <v>197</v>
      </c>
    </row>
    <row r="51" spans="1:4" ht="24" x14ac:dyDescent="0.35">
      <c r="A51" s="8">
        <v>31</v>
      </c>
      <c r="B51" s="20" t="s">
        <v>198</v>
      </c>
      <c r="C51" s="10">
        <f>729700000/1000000</f>
        <v>729.7</v>
      </c>
      <c r="D51" s="21"/>
    </row>
    <row r="52" spans="1:4" ht="24" x14ac:dyDescent="0.35">
      <c r="A52" s="8">
        <v>32</v>
      </c>
      <c r="B52" s="20" t="s">
        <v>199</v>
      </c>
      <c r="C52" s="13" t="s">
        <v>2</v>
      </c>
      <c r="D52" s="21"/>
    </row>
    <row r="53" spans="1:4" ht="36" x14ac:dyDescent="0.35">
      <c r="A53" s="8">
        <v>33</v>
      </c>
      <c r="B53" s="20" t="s">
        <v>200</v>
      </c>
      <c r="C53" s="13">
        <v>0</v>
      </c>
      <c r="D53" s="21"/>
    </row>
    <row r="54" spans="1:4" ht="24" x14ac:dyDescent="0.35">
      <c r="A54" s="8" t="s">
        <v>12</v>
      </c>
      <c r="B54" s="20" t="s">
        <v>201</v>
      </c>
      <c r="C54" s="13">
        <v>0</v>
      </c>
      <c r="D54" s="21"/>
    </row>
    <row r="55" spans="1:4" ht="24" x14ac:dyDescent="0.35">
      <c r="A55" s="8" t="s">
        <v>13</v>
      </c>
      <c r="B55" s="20" t="s">
        <v>202</v>
      </c>
      <c r="C55" s="13">
        <v>0</v>
      </c>
      <c r="D55" s="21"/>
    </row>
    <row r="56" spans="1:4" ht="36" x14ac:dyDescent="0.35">
      <c r="A56" s="8">
        <v>34</v>
      </c>
      <c r="B56" s="20" t="s">
        <v>203</v>
      </c>
      <c r="C56" s="10">
        <f>-27158797/1000000</f>
        <v>-27.158797</v>
      </c>
      <c r="D56" s="21"/>
    </row>
    <row r="57" spans="1:4" ht="24" x14ac:dyDescent="0.35">
      <c r="A57" s="8">
        <v>35</v>
      </c>
      <c r="B57" s="20" t="s">
        <v>204</v>
      </c>
      <c r="C57" s="10">
        <f>-27158797/1000000</f>
        <v>-27.158797</v>
      </c>
      <c r="D57" s="21"/>
    </row>
    <row r="58" spans="1:4" ht="24" x14ac:dyDescent="0.35">
      <c r="A58" s="14">
        <v>36</v>
      </c>
      <c r="B58" s="22" t="s">
        <v>205</v>
      </c>
      <c r="C58" s="360">
        <f>+C50+C56</f>
        <v>702.541203</v>
      </c>
      <c r="D58" s="21"/>
    </row>
    <row r="59" spans="1:4" x14ac:dyDescent="0.35">
      <c r="A59" s="17" t="s">
        <v>206</v>
      </c>
      <c r="B59" s="18"/>
      <c r="C59" s="18"/>
      <c r="D59" s="19"/>
    </row>
    <row r="60" spans="1:4" ht="24" x14ac:dyDescent="0.35">
      <c r="A60" s="8">
        <v>37</v>
      </c>
      <c r="B60" s="20" t="s">
        <v>207</v>
      </c>
      <c r="C60" s="23">
        <v>0</v>
      </c>
      <c r="D60" s="21"/>
    </row>
    <row r="61" spans="1:4" ht="60" x14ac:dyDescent="0.35">
      <c r="A61" s="8">
        <v>38</v>
      </c>
      <c r="B61" s="20" t="s">
        <v>208</v>
      </c>
      <c r="C61" s="13">
        <v>0</v>
      </c>
      <c r="D61" s="21"/>
    </row>
    <row r="62" spans="1:4" ht="60" x14ac:dyDescent="0.35">
      <c r="A62" s="8">
        <v>39</v>
      </c>
      <c r="B62" s="20" t="s">
        <v>209</v>
      </c>
      <c r="C62" s="13">
        <v>0</v>
      </c>
      <c r="D62" s="21"/>
    </row>
    <row r="63" spans="1:4" ht="60" x14ac:dyDescent="0.35">
      <c r="A63" s="8">
        <v>40</v>
      </c>
      <c r="B63" s="20" t="s">
        <v>210</v>
      </c>
      <c r="C63" s="13">
        <v>0</v>
      </c>
      <c r="D63" s="21"/>
    </row>
    <row r="64" spans="1:4" x14ac:dyDescent="0.35">
      <c r="A64" s="8">
        <v>41</v>
      </c>
      <c r="B64" s="20" t="s">
        <v>171</v>
      </c>
      <c r="C64" s="13" t="s">
        <v>2</v>
      </c>
      <c r="D64" s="21"/>
    </row>
    <row r="65" spans="1:4" ht="24" x14ac:dyDescent="0.35">
      <c r="A65" s="8">
        <v>42</v>
      </c>
      <c r="B65" s="20" t="s">
        <v>211</v>
      </c>
      <c r="C65" s="13">
        <v>0</v>
      </c>
      <c r="D65" s="21"/>
    </row>
    <row r="66" spans="1:4" x14ac:dyDescent="0.35">
      <c r="A66" s="8" t="s">
        <v>14</v>
      </c>
      <c r="B66" s="20" t="s">
        <v>212</v>
      </c>
      <c r="C66" s="13">
        <v>0</v>
      </c>
      <c r="D66" s="21"/>
    </row>
    <row r="67" spans="1:4" ht="24" x14ac:dyDescent="0.35">
      <c r="A67" s="14">
        <v>43</v>
      </c>
      <c r="B67" s="22" t="s">
        <v>213</v>
      </c>
      <c r="C67" s="13">
        <v>0</v>
      </c>
      <c r="D67" s="21"/>
    </row>
    <row r="68" spans="1:4" x14ac:dyDescent="0.35">
      <c r="A68" s="14">
        <v>44</v>
      </c>
      <c r="B68" s="22" t="s">
        <v>214</v>
      </c>
      <c r="C68" s="360">
        <f>+C58</f>
        <v>702.541203</v>
      </c>
      <c r="D68" s="21"/>
    </row>
    <row r="69" spans="1:4" x14ac:dyDescent="0.35">
      <c r="A69" s="14">
        <v>45</v>
      </c>
      <c r="B69" s="22" t="s">
        <v>215</v>
      </c>
      <c r="C69" s="360">
        <f>+C48+C68</f>
        <v>9846.5109739999989</v>
      </c>
      <c r="D69" s="21"/>
    </row>
    <row r="70" spans="1:4" x14ac:dyDescent="0.35">
      <c r="A70" s="17" t="s">
        <v>216</v>
      </c>
      <c r="B70" s="18"/>
      <c r="C70" s="18"/>
      <c r="D70" s="19"/>
    </row>
    <row r="71" spans="1:4" ht="24" x14ac:dyDescent="0.35">
      <c r="A71" s="8">
        <v>46</v>
      </c>
      <c r="B71" s="20" t="s">
        <v>217</v>
      </c>
      <c r="C71" s="10">
        <f>1498608782/1000000</f>
        <v>1498.608782</v>
      </c>
      <c r="D71" s="21"/>
    </row>
    <row r="72" spans="1:4" ht="36" x14ac:dyDescent="0.35">
      <c r="A72" s="8">
        <v>47</v>
      </c>
      <c r="B72" s="20" t="s">
        <v>218</v>
      </c>
      <c r="C72" s="13">
        <v>0</v>
      </c>
      <c r="D72" s="21"/>
    </row>
    <row r="73" spans="1:4" ht="24" x14ac:dyDescent="0.35">
      <c r="A73" s="8" t="s">
        <v>15</v>
      </c>
      <c r="B73" s="20" t="s">
        <v>219</v>
      </c>
      <c r="C73" s="13">
        <v>0</v>
      </c>
      <c r="D73" s="21"/>
    </row>
    <row r="74" spans="1:4" ht="24" x14ac:dyDescent="0.35">
      <c r="A74" s="8" t="s">
        <v>16</v>
      </c>
      <c r="B74" s="20" t="s">
        <v>220</v>
      </c>
      <c r="C74" s="13">
        <v>0</v>
      </c>
      <c r="D74" s="21"/>
    </row>
    <row r="75" spans="1:4" ht="48" x14ac:dyDescent="0.35">
      <c r="A75" s="8">
        <v>48</v>
      </c>
      <c r="B75" s="20" t="s">
        <v>221</v>
      </c>
      <c r="C75" s="10">
        <f>-114712318/1000000</f>
        <v>-114.712318</v>
      </c>
      <c r="D75" s="21"/>
    </row>
    <row r="76" spans="1:4" ht="24" x14ac:dyDescent="0.35">
      <c r="A76" s="8">
        <v>49</v>
      </c>
      <c r="B76" s="20" t="s">
        <v>222</v>
      </c>
      <c r="C76" s="10">
        <f>-114712318/1000000</f>
        <v>-114.712318</v>
      </c>
      <c r="D76" s="21"/>
    </row>
    <row r="77" spans="1:4" x14ac:dyDescent="0.35">
      <c r="A77" s="8">
        <v>50</v>
      </c>
      <c r="B77" s="20" t="s">
        <v>223</v>
      </c>
      <c r="C77" s="13">
        <v>0</v>
      </c>
      <c r="D77" s="21"/>
    </row>
    <row r="78" spans="1:4" x14ac:dyDescent="0.35">
      <c r="A78" s="14">
        <v>51</v>
      </c>
      <c r="B78" s="22" t="s">
        <v>224</v>
      </c>
      <c r="C78" s="360">
        <f>+C71+C75</f>
        <v>1383.8964639999999</v>
      </c>
      <c r="D78" s="24"/>
    </row>
    <row r="79" spans="1:4" x14ac:dyDescent="0.35">
      <c r="A79" s="17" t="s">
        <v>225</v>
      </c>
      <c r="B79" s="18"/>
      <c r="C79" s="18"/>
      <c r="D79" s="19"/>
    </row>
    <row r="80" spans="1:4" ht="36" x14ac:dyDescent="0.35">
      <c r="A80" s="8">
        <v>52</v>
      </c>
      <c r="B80" s="20" t="s">
        <v>226</v>
      </c>
      <c r="C80" s="23">
        <v>0</v>
      </c>
      <c r="D80" s="21"/>
    </row>
    <row r="81" spans="1:4" ht="72" x14ac:dyDescent="0.35">
      <c r="A81" s="8">
        <v>53</v>
      </c>
      <c r="B81" s="20" t="s">
        <v>227</v>
      </c>
      <c r="C81" s="13">
        <v>0</v>
      </c>
      <c r="D81" s="21"/>
    </row>
    <row r="82" spans="1:4" ht="72" x14ac:dyDescent="0.35">
      <c r="A82" s="8">
        <v>54</v>
      </c>
      <c r="B82" s="20" t="s">
        <v>228</v>
      </c>
      <c r="C82" s="13">
        <v>0</v>
      </c>
      <c r="D82" s="21"/>
    </row>
    <row r="83" spans="1:4" x14ac:dyDescent="0.35">
      <c r="A83" s="8" t="s">
        <v>17</v>
      </c>
      <c r="B83" s="20" t="s">
        <v>171</v>
      </c>
      <c r="C83" s="13" t="s">
        <v>2</v>
      </c>
      <c r="D83" s="21"/>
    </row>
    <row r="84" spans="1:4" ht="60" x14ac:dyDescent="0.35">
      <c r="A84" s="8">
        <v>55</v>
      </c>
      <c r="B84" s="20" t="s">
        <v>229</v>
      </c>
      <c r="C84" s="13">
        <v>0</v>
      </c>
      <c r="D84" s="21"/>
    </row>
    <row r="85" spans="1:4" x14ac:dyDescent="0.35">
      <c r="A85" s="8">
        <v>56</v>
      </c>
      <c r="B85" s="20" t="s">
        <v>171</v>
      </c>
      <c r="C85" s="13" t="s">
        <v>2</v>
      </c>
      <c r="D85" s="21"/>
    </row>
    <row r="86" spans="1:4" ht="36" x14ac:dyDescent="0.35">
      <c r="A86" s="8" t="s">
        <v>18</v>
      </c>
      <c r="B86" s="21" t="s">
        <v>230</v>
      </c>
      <c r="C86" s="13">
        <v>0</v>
      </c>
      <c r="D86" s="21"/>
    </row>
    <row r="87" spans="1:4" x14ac:dyDescent="0.35">
      <c r="A87" s="8" t="s">
        <v>19</v>
      </c>
      <c r="B87" s="21" t="s">
        <v>231</v>
      </c>
      <c r="C87" s="13">
        <v>0</v>
      </c>
      <c r="D87" s="21"/>
    </row>
    <row r="88" spans="1:4" x14ac:dyDescent="0.35">
      <c r="A88" s="14">
        <v>57</v>
      </c>
      <c r="B88" s="24" t="s">
        <v>232</v>
      </c>
      <c r="C88" s="13">
        <v>0</v>
      </c>
      <c r="D88" s="21"/>
    </row>
    <row r="89" spans="1:4" x14ac:dyDescent="0.35">
      <c r="A89" s="14">
        <v>58</v>
      </c>
      <c r="B89" s="24" t="s">
        <v>233</v>
      </c>
      <c r="C89" s="10">
        <f>1383896464/1000000</f>
        <v>1383.8964639999999</v>
      </c>
      <c r="D89" s="21"/>
    </row>
    <row r="90" spans="1:4" x14ac:dyDescent="0.35">
      <c r="A90" s="14">
        <v>59</v>
      </c>
      <c r="B90" s="24" t="s">
        <v>234</v>
      </c>
      <c r="C90" s="10">
        <f>11230407438/1000000</f>
        <v>11230.407438</v>
      </c>
      <c r="D90" s="21"/>
    </row>
    <row r="91" spans="1:4" x14ac:dyDescent="0.35">
      <c r="A91" s="14">
        <v>60</v>
      </c>
      <c r="B91" s="24" t="s">
        <v>235</v>
      </c>
      <c r="C91" s="16">
        <f>62942737357/1000000</f>
        <v>62942.737356999998</v>
      </c>
      <c r="D91" s="24"/>
    </row>
    <row r="92" spans="1:4" x14ac:dyDescent="0.35">
      <c r="A92" s="17" t="s">
        <v>236</v>
      </c>
      <c r="B92" s="18"/>
      <c r="C92" s="18"/>
      <c r="D92" s="19"/>
    </row>
    <row r="93" spans="1:4" ht="24" x14ac:dyDescent="0.35">
      <c r="A93" s="8">
        <v>61</v>
      </c>
      <c r="B93" s="20" t="s">
        <v>237</v>
      </c>
      <c r="C93" s="361">
        <f>C48/C91</f>
        <v>0.14527442171980906</v>
      </c>
      <c r="D93" s="21"/>
    </row>
    <row r="94" spans="1:4" x14ac:dyDescent="0.35">
      <c r="A94" s="8">
        <v>62</v>
      </c>
      <c r="B94" s="20" t="s">
        <v>238</v>
      </c>
      <c r="C94" s="25">
        <v>0.15643599999999999</v>
      </c>
      <c r="D94" s="21"/>
    </row>
    <row r="95" spans="1:4" ht="24" x14ac:dyDescent="0.35">
      <c r="A95" s="8">
        <v>63</v>
      </c>
      <c r="B95" s="20" t="s">
        <v>239</v>
      </c>
      <c r="C95" s="25">
        <f>C90/C91</f>
        <v>0.17842260933621507</v>
      </c>
      <c r="D95" s="21"/>
    </row>
    <row r="96" spans="1:4" ht="84" x14ac:dyDescent="0.35">
      <c r="A96" s="8">
        <v>64</v>
      </c>
      <c r="B96" s="20" t="s">
        <v>240</v>
      </c>
      <c r="C96" s="25">
        <v>8.1199999999999994E-2</v>
      </c>
      <c r="D96" s="21"/>
    </row>
    <row r="97" spans="1:4" x14ac:dyDescent="0.35">
      <c r="A97" s="8">
        <v>65</v>
      </c>
      <c r="B97" s="21" t="s">
        <v>241</v>
      </c>
      <c r="C97" s="25">
        <v>2.5000000000000001E-2</v>
      </c>
      <c r="D97" s="21"/>
    </row>
    <row r="98" spans="1:4" x14ac:dyDescent="0.35">
      <c r="A98" s="8">
        <v>66</v>
      </c>
      <c r="B98" s="21" t="s">
        <v>242</v>
      </c>
      <c r="C98" s="25">
        <v>0</v>
      </c>
      <c r="D98" s="21"/>
    </row>
    <row r="99" spans="1:4" x14ac:dyDescent="0.35">
      <c r="A99" s="8">
        <v>67</v>
      </c>
      <c r="B99" s="21" t="s">
        <v>243</v>
      </c>
      <c r="C99" s="25">
        <v>0</v>
      </c>
      <c r="D99" s="21"/>
    </row>
    <row r="100" spans="1:4" ht="36" x14ac:dyDescent="0.35">
      <c r="A100" s="8" t="s">
        <v>20</v>
      </c>
      <c r="B100" s="20" t="s">
        <v>244</v>
      </c>
      <c r="C100" s="25">
        <v>0</v>
      </c>
      <c r="D100" s="21"/>
    </row>
    <row r="101" spans="1:4" ht="24" x14ac:dyDescent="0.35">
      <c r="A101" s="8" t="s">
        <v>21</v>
      </c>
      <c r="B101" s="20" t="s">
        <v>245</v>
      </c>
      <c r="C101" s="25">
        <f>0.01119678425</f>
        <v>1.1196784249999999E-2</v>
      </c>
      <c r="D101" s="21"/>
    </row>
    <row r="102" spans="1:4" ht="36" x14ac:dyDescent="0.35">
      <c r="A102" s="8">
        <v>68</v>
      </c>
      <c r="B102" s="22" t="s">
        <v>246</v>
      </c>
      <c r="C102" s="25">
        <v>8.9177999999999993E-2</v>
      </c>
      <c r="D102" s="21"/>
    </row>
    <row r="103" spans="1:4" x14ac:dyDescent="0.35">
      <c r="A103" s="8">
        <v>69</v>
      </c>
      <c r="B103" s="26" t="s">
        <v>247</v>
      </c>
      <c r="C103" s="25"/>
      <c r="D103" s="21"/>
    </row>
    <row r="104" spans="1:4" x14ac:dyDescent="0.35">
      <c r="A104" s="8">
        <v>70</v>
      </c>
      <c r="B104" s="26" t="s">
        <v>247</v>
      </c>
      <c r="C104" s="362"/>
      <c r="D104" s="21"/>
    </row>
    <row r="105" spans="1:4" x14ac:dyDescent="0.35">
      <c r="A105" s="8">
        <v>71</v>
      </c>
      <c r="B105" s="26" t="s">
        <v>247</v>
      </c>
      <c r="C105" s="362"/>
      <c r="D105" s="21"/>
    </row>
    <row r="106" spans="1:4" x14ac:dyDescent="0.35">
      <c r="A106" s="17" t="s">
        <v>248</v>
      </c>
      <c r="B106" s="18"/>
      <c r="C106" s="18"/>
      <c r="D106" s="19"/>
    </row>
    <row r="107" spans="1:4" ht="60" x14ac:dyDescent="0.35">
      <c r="A107" s="28">
        <v>72</v>
      </c>
      <c r="B107" s="363" t="s">
        <v>249</v>
      </c>
      <c r="C107" s="10">
        <f>1070409027/1000000</f>
        <v>1070.4090269999999</v>
      </c>
      <c r="D107" s="363"/>
    </row>
    <row r="108" spans="1:4" ht="60" x14ac:dyDescent="0.35">
      <c r="A108" s="8">
        <v>73</v>
      </c>
      <c r="B108" s="20" t="s">
        <v>250</v>
      </c>
      <c r="C108" s="10">
        <f>486940346/1000000</f>
        <v>486.94034599999998</v>
      </c>
      <c r="D108" s="21"/>
    </row>
    <row r="109" spans="1:4" x14ac:dyDescent="0.35">
      <c r="A109" s="8">
        <v>74</v>
      </c>
      <c r="B109" s="20" t="s">
        <v>171</v>
      </c>
      <c r="C109" s="13" t="s">
        <v>2</v>
      </c>
      <c r="D109" s="21"/>
    </row>
    <row r="110" spans="1:4" ht="48" x14ac:dyDescent="0.35">
      <c r="A110" s="8">
        <v>75</v>
      </c>
      <c r="B110" s="20" t="s">
        <v>251</v>
      </c>
      <c r="C110" s="13">
        <v>0</v>
      </c>
      <c r="D110" s="21"/>
    </row>
    <row r="111" spans="1:4" x14ac:dyDescent="0.35">
      <c r="A111" s="17" t="s">
        <v>252</v>
      </c>
      <c r="B111" s="18"/>
      <c r="C111" s="18"/>
      <c r="D111" s="19"/>
    </row>
    <row r="112" spans="1:4" ht="36" x14ac:dyDescent="0.35">
      <c r="A112" s="8">
        <v>76</v>
      </c>
      <c r="B112" s="20" t="s">
        <v>253</v>
      </c>
      <c r="C112" s="27">
        <v>0</v>
      </c>
      <c r="D112" s="21"/>
    </row>
    <row r="113" spans="1:4" ht="24" x14ac:dyDescent="0.35">
      <c r="A113" s="8">
        <v>77</v>
      </c>
      <c r="B113" s="20" t="s">
        <v>254</v>
      </c>
      <c r="C113" s="27">
        <v>0</v>
      </c>
      <c r="D113" s="21"/>
    </row>
    <row r="114" spans="1:4" ht="36" x14ac:dyDescent="0.35">
      <c r="A114" s="8">
        <v>78</v>
      </c>
      <c r="B114" s="20" t="s">
        <v>255</v>
      </c>
      <c r="C114" s="27">
        <v>0</v>
      </c>
      <c r="D114" s="21"/>
    </row>
    <row r="115" spans="1:4" ht="24" x14ac:dyDescent="0.35">
      <c r="A115" s="8">
        <v>79</v>
      </c>
      <c r="B115" s="20" t="s">
        <v>256</v>
      </c>
      <c r="C115" s="27">
        <v>0</v>
      </c>
      <c r="D115" s="21"/>
    </row>
    <row r="116" spans="1:4" x14ac:dyDescent="0.35">
      <c r="A116" s="29" t="s">
        <v>257</v>
      </c>
      <c r="B116" s="30"/>
      <c r="C116" s="30"/>
      <c r="D116" s="31"/>
    </row>
    <row r="117" spans="1:4" ht="24" x14ac:dyDescent="0.35">
      <c r="A117" s="8">
        <v>80</v>
      </c>
      <c r="B117" s="20" t="s">
        <v>258</v>
      </c>
      <c r="C117" s="20"/>
      <c r="D117" s="21"/>
    </row>
    <row r="118" spans="1:4" ht="24" x14ac:dyDescent="0.35">
      <c r="A118" s="8">
        <v>81</v>
      </c>
      <c r="B118" s="20" t="s">
        <v>259</v>
      </c>
      <c r="C118" s="20"/>
      <c r="D118" s="21" t="s">
        <v>37</v>
      </c>
    </row>
    <row r="119" spans="1:4" ht="24" x14ac:dyDescent="0.35">
      <c r="A119" s="8">
        <v>82</v>
      </c>
      <c r="B119" s="20" t="s">
        <v>260</v>
      </c>
      <c r="C119" s="9"/>
      <c r="D119" s="21"/>
    </row>
    <row r="120" spans="1:4" ht="24" x14ac:dyDescent="0.35">
      <c r="A120" s="8">
        <v>83</v>
      </c>
      <c r="B120" s="20" t="s">
        <v>261</v>
      </c>
      <c r="C120" s="9"/>
      <c r="D120" s="21"/>
    </row>
    <row r="121" spans="1:4" ht="24" x14ac:dyDescent="0.35">
      <c r="A121" s="8">
        <v>84</v>
      </c>
      <c r="B121" s="20" t="s">
        <v>262</v>
      </c>
      <c r="C121" s="9"/>
      <c r="D121" s="21"/>
    </row>
    <row r="122" spans="1:4" ht="24" x14ac:dyDescent="0.35">
      <c r="A122" s="8">
        <v>85</v>
      </c>
      <c r="B122" s="20" t="s">
        <v>263</v>
      </c>
      <c r="C122" s="9"/>
      <c r="D122" s="21"/>
    </row>
  </sheetData>
  <mergeCells count="10">
    <mergeCell ref="A92:D92"/>
    <mergeCell ref="A106:D106"/>
    <mergeCell ref="A111:D111"/>
    <mergeCell ref="A116:D116"/>
    <mergeCell ref="A6:D6"/>
    <mergeCell ref="A18:D18"/>
    <mergeCell ref="A49:D49"/>
    <mergeCell ref="A59:D59"/>
    <mergeCell ref="A70:D70"/>
    <mergeCell ref="A79:D79"/>
  </mergeCells>
  <pageMargins left="0.7" right="0.7" top="0.75" bottom="0.75" header="0.3" footer="0.3"/>
  <pageSetup paperSize="9" scale="6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3FEFF-F669-41E3-B804-7C04EB7C410C}">
  <sheetPr>
    <pageSetUpPr fitToPage="1"/>
  </sheetPr>
  <dimension ref="A2:E45"/>
  <sheetViews>
    <sheetView workbookViewId="0">
      <selection activeCell="A17" sqref="A17"/>
    </sheetView>
  </sheetViews>
  <sheetFormatPr defaultRowHeight="14.5" x14ac:dyDescent="0.35"/>
  <cols>
    <col min="1" max="1" width="58.6328125" customWidth="1"/>
    <col min="2" max="2" width="22.1796875" customWidth="1"/>
    <col min="3" max="3" width="22.7265625" customWidth="1"/>
    <col min="4" max="4" width="51.6328125" customWidth="1"/>
  </cols>
  <sheetData>
    <row r="2" spans="1:4" ht="18.5" x14ac:dyDescent="0.35">
      <c r="A2" s="1" t="s">
        <v>305</v>
      </c>
    </row>
    <row r="3" spans="1:4" ht="14.5" customHeight="1" x14ac:dyDescent="0.35">
      <c r="A3" s="365" t="s">
        <v>265</v>
      </c>
      <c r="B3" s="365"/>
      <c r="C3" s="365"/>
      <c r="D3" s="365"/>
    </row>
    <row r="4" spans="1:4" x14ac:dyDescent="0.35">
      <c r="A4" s="365"/>
      <c r="B4" s="365"/>
      <c r="C4" s="365"/>
      <c r="D4" s="365"/>
    </row>
    <row r="5" spans="1:4" x14ac:dyDescent="0.35">
      <c r="A5" s="364"/>
      <c r="B5" s="364"/>
      <c r="C5" s="364"/>
      <c r="D5" s="364"/>
    </row>
    <row r="6" spans="1:4" x14ac:dyDescent="0.35">
      <c r="A6" s="366"/>
      <c r="B6" s="32" t="s">
        <v>22</v>
      </c>
      <c r="C6" s="33" t="s">
        <v>23</v>
      </c>
      <c r="D6" s="33" t="s">
        <v>24</v>
      </c>
    </row>
    <row r="7" spans="1:4" ht="43.5" x14ac:dyDescent="0.35">
      <c r="A7" s="367"/>
      <c r="B7" s="34" t="s">
        <v>266</v>
      </c>
      <c r="C7" s="35" t="s">
        <v>267</v>
      </c>
      <c r="D7" s="35" t="s">
        <v>25</v>
      </c>
    </row>
    <row r="8" spans="1:4" x14ac:dyDescent="0.35">
      <c r="A8" s="368"/>
      <c r="B8" s="34" t="s">
        <v>268</v>
      </c>
      <c r="C8" s="35" t="s">
        <v>268</v>
      </c>
      <c r="D8" s="35"/>
    </row>
    <row r="9" spans="1:4" x14ac:dyDescent="0.35">
      <c r="A9" s="36" t="s">
        <v>269</v>
      </c>
      <c r="B9" s="37"/>
      <c r="C9" s="37"/>
      <c r="D9" s="38"/>
    </row>
    <row r="10" spans="1:4" x14ac:dyDescent="0.35">
      <c r="A10" s="369" t="s">
        <v>270</v>
      </c>
      <c r="B10" s="370">
        <f>9521675547/1000000</f>
        <v>9521.6755470000007</v>
      </c>
      <c r="C10" s="370">
        <f>+B10</f>
        <v>9521.6755470000007</v>
      </c>
      <c r="D10" s="371" t="s">
        <v>2</v>
      </c>
    </row>
    <row r="11" spans="1:4" x14ac:dyDescent="0.35">
      <c r="A11" s="369" t="s">
        <v>271</v>
      </c>
      <c r="B11" s="370">
        <f>619143220/1000000</f>
        <v>619.14322000000004</v>
      </c>
      <c r="C11" s="370">
        <f t="shared" ref="C11:C24" si="0">+B11</f>
        <v>619.14322000000004</v>
      </c>
      <c r="D11" s="371" t="s">
        <v>2</v>
      </c>
    </row>
    <row r="12" spans="1:4" x14ac:dyDescent="0.35">
      <c r="A12" s="369" t="s">
        <v>272</v>
      </c>
      <c r="B12" s="370">
        <f>44312778006/1000000</f>
        <v>44312.778006</v>
      </c>
      <c r="C12" s="370">
        <f t="shared" si="0"/>
        <v>44312.778006</v>
      </c>
      <c r="D12" s="371" t="s">
        <v>2</v>
      </c>
    </row>
    <row r="13" spans="1:4" x14ac:dyDescent="0.35">
      <c r="A13" s="369" t="s">
        <v>273</v>
      </c>
      <c r="B13" s="370">
        <f>29336597736/1000000</f>
        <v>29336.597736</v>
      </c>
      <c r="C13" s="370">
        <f t="shared" si="0"/>
        <v>29336.597736</v>
      </c>
      <c r="D13" s="371" t="s">
        <v>2</v>
      </c>
    </row>
    <row r="14" spans="1:4" x14ac:dyDescent="0.35">
      <c r="A14" s="369" t="s">
        <v>274</v>
      </c>
      <c r="B14" s="370">
        <f>2036354680/1000000</f>
        <v>2036.3546799999999</v>
      </c>
      <c r="C14" s="370">
        <f t="shared" si="0"/>
        <v>2036.3546799999999</v>
      </c>
      <c r="D14" s="371" t="s">
        <v>2</v>
      </c>
    </row>
    <row r="15" spans="1:4" x14ac:dyDescent="0.35">
      <c r="A15" s="369" t="s">
        <v>275</v>
      </c>
      <c r="B15" s="370">
        <f>141845333/1000000</f>
        <v>141.84533300000001</v>
      </c>
      <c r="C15" s="370">
        <f t="shared" si="0"/>
        <v>141.84533300000001</v>
      </c>
      <c r="D15" s="371" t="s">
        <v>2</v>
      </c>
    </row>
    <row r="16" spans="1:4" x14ac:dyDescent="0.35">
      <c r="A16" s="369" t="s">
        <v>276</v>
      </c>
      <c r="B16" s="370">
        <f>15467789447/1000000</f>
        <v>15467.789446999999</v>
      </c>
      <c r="C16" s="370">
        <f t="shared" si="0"/>
        <v>15467.789446999999</v>
      </c>
      <c r="D16" s="371" t="s">
        <v>2</v>
      </c>
    </row>
    <row r="17" spans="1:4" x14ac:dyDescent="0.35">
      <c r="A17" s="369" t="s">
        <v>277</v>
      </c>
      <c r="B17" s="370">
        <f>231610582/1000000</f>
        <v>231.61058199999999</v>
      </c>
      <c r="C17" s="370">
        <f t="shared" si="0"/>
        <v>231.61058199999999</v>
      </c>
      <c r="D17" s="371" t="s">
        <v>26</v>
      </c>
    </row>
    <row r="18" spans="1:4" x14ac:dyDescent="0.35">
      <c r="A18" s="369" t="s">
        <v>278</v>
      </c>
      <c r="B18" s="370">
        <f>1978272244/1000000</f>
        <v>1978.272244</v>
      </c>
      <c r="C18" s="370">
        <f t="shared" si="0"/>
        <v>1978.272244</v>
      </c>
      <c r="D18" s="371" t="s">
        <v>2</v>
      </c>
    </row>
    <row r="19" spans="1:4" x14ac:dyDescent="0.35">
      <c r="A19" s="369" t="s">
        <v>279</v>
      </c>
      <c r="B19" s="370">
        <f>160479358/1000000</f>
        <v>160.47935799999999</v>
      </c>
      <c r="C19" s="370">
        <f t="shared" si="0"/>
        <v>160.47935799999999</v>
      </c>
      <c r="D19" s="371" t="s">
        <v>2</v>
      </c>
    </row>
    <row r="20" spans="1:4" x14ac:dyDescent="0.35">
      <c r="A20" s="369" t="s">
        <v>280</v>
      </c>
      <c r="B20" s="370">
        <f>23185025/1000000</f>
        <v>23.185025</v>
      </c>
      <c r="C20" s="370">
        <f t="shared" si="0"/>
        <v>23.185025</v>
      </c>
      <c r="D20" s="371" t="s">
        <v>2</v>
      </c>
    </row>
    <row r="21" spans="1:4" x14ac:dyDescent="0.35">
      <c r="A21" s="369" t="s">
        <v>281</v>
      </c>
      <c r="B21" s="370">
        <f>252785703/1000000</f>
        <v>252.78570300000001</v>
      </c>
      <c r="C21" s="370">
        <f t="shared" si="0"/>
        <v>252.78570300000001</v>
      </c>
      <c r="D21" s="371" t="s">
        <v>27</v>
      </c>
    </row>
    <row r="22" spans="1:4" x14ac:dyDescent="0.35">
      <c r="A22" s="369" t="s">
        <v>282</v>
      </c>
      <c r="B22" s="370">
        <f>81246545/1000000</f>
        <v>81.246544999999998</v>
      </c>
      <c r="C22" s="370">
        <f t="shared" si="0"/>
        <v>81.246544999999998</v>
      </c>
      <c r="D22" s="371" t="s">
        <v>2</v>
      </c>
    </row>
    <row r="23" spans="1:4" x14ac:dyDescent="0.35">
      <c r="A23" s="372" t="s">
        <v>283</v>
      </c>
      <c r="B23" s="370">
        <f>1790863224/1000000</f>
        <v>1790.8632239999999</v>
      </c>
      <c r="C23" s="370">
        <f t="shared" si="0"/>
        <v>1790.8632239999999</v>
      </c>
      <c r="D23" s="371" t="s">
        <v>2</v>
      </c>
    </row>
    <row r="24" spans="1:4" x14ac:dyDescent="0.35">
      <c r="A24" s="369" t="s">
        <v>284</v>
      </c>
      <c r="B24" s="370">
        <f>131878044/1000000</f>
        <v>131.87804399999999</v>
      </c>
      <c r="C24" s="370">
        <f t="shared" si="0"/>
        <v>131.87804399999999</v>
      </c>
      <c r="D24" s="371" t="s">
        <v>2</v>
      </c>
    </row>
    <row r="25" spans="1:4" x14ac:dyDescent="0.35">
      <c r="A25" s="373" t="s">
        <v>285</v>
      </c>
      <c r="B25" s="374">
        <f>SUM(B10:B24)</f>
        <v>106086.504694</v>
      </c>
      <c r="C25" s="374">
        <f>SUM(C10:C24)</f>
        <v>106086.504694</v>
      </c>
      <c r="D25" s="39"/>
    </row>
    <row r="26" spans="1:4" x14ac:dyDescent="0.35">
      <c r="A26" s="375" t="s">
        <v>286</v>
      </c>
      <c r="B26" s="37"/>
      <c r="C26" s="37"/>
      <c r="D26" s="38"/>
    </row>
    <row r="27" spans="1:4" x14ac:dyDescent="0.35">
      <c r="A27" s="369" t="s">
        <v>287</v>
      </c>
      <c r="B27" s="370">
        <f>600639678/1000000</f>
        <v>600.639678</v>
      </c>
      <c r="C27" s="370">
        <f t="shared" ref="C27:C35" si="1">+B27</f>
        <v>600.639678</v>
      </c>
      <c r="D27" s="33"/>
    </row>
    <row r="28" spans="1:4" x14ac:dyDescent="0.35">
      <c r="A28" s="369" t="s">
        <v>288</v>
      </c>
      <c r="B28" s="370">
        <f>73098637661/1000000</f>
        <v>73098.637661000001</v>
      </c>
      <c r="C28" s="370">
        <f t="shared" si="1"/>
        <v>73098.637661000001</v>
      </c>
      <c r="D28" s="33"/>
    </row>
    <row r="29" spans="1:4" x14ac:dyDescent="0.35">
      <c r="A29" s="369" t="s">
        <v>289</v>
      </c>
      <c r="B29" s="370">
        <f>15467789447/1000000</f>
        <v>15467.789446999999</v>
      </c>
      <c r="C29" s="370">
        <f t="shared" si="1"/>
        <v>15467.789446999999</v>
      </c>
      <c r="D29" s="33"/>
    </row>
    <row r="30" spans="1:4" x14ac:dyDescent="0.35">
      <c r="A30" s="369" t="s">
        <v>290</v>
      </c>
      <c r="B30" s="370">
        <f>348646441/1000000</f>
        <v>348.64644099999998</v>
      </c>
      <c r="C30" s="370">
        <f t="shared" si="1"/>
        <v>348.64644099999998</v>
      </c>
      <c r="D30" s="33"/>
    </row>
    <row r="31" spans="1:4" x14ac:dyDescent="0.35">
      <c r="A31" s="369" t="s">
        <v>291</v>
      </c>
      <c r="B31" s="370">
        <f>120969760/1000000</f>
        <v>120.96975999999999</v>
      </c>
      <c r="C31" s="370">
        <f t="shared" si="1"/>
        <v>120.96975999999999</v>
      </c>
      <c r="D31" s="33"/>
    </row>
    <row r="32" spans="1:4" x14ac:dyDescent="0.35">
      <c r="A32" s="369" t="s">
        <v>292</v>
      </c>
      <c r="B32" s="370">
        <f>3141651791/1000000</f>
        <v>3141.6517909999998</v>
      </c>
      <c r="C32" s="370">
        <f t="shared" si="1"/>
        <v>3141.6517909999998</v>
      </c>
      <c r="D32" s="33"/>
    </row>
    <row r="33" spans="1:5" x14ac:dyDescent="0.35">
      <c r="A33" s="369" t="s">
        <v>293</v>
      </c>
      <c r="B33" s="370">
        <f>84806133/1000000</f>
        <v>84.806133000000003</v>
      </c>
      <c r="C33" s="370">
        <f t="shared" si="1"/>
        <v>84.806133000000003</v>
      </c>
      <c r="D33" s="33"/>
    </row>
    <row r="34" spans="1:5" x14ac:dyDescent="0.35">
      <c r="A34" s="369" t="s">
        <v>294</v>
      </c>
      <c r="B34" s="370">
        <f>252628189/1000000</f>
        <v>252.62818899999999</v>
      </c>
      <c r="C34" s="370">
        <f t="shared" si="1"/>
        <v>252.62818899999999</v>
      </c>
      <c r="D34" s="33"/>
    </row>
    <row r="35" spans="1:5" x14ac:dyDescent="0.35">
      <c r="A35" s="369" t="s">
        <v>295</v>
      </c>
      <c r="B35" s="370">
        <f>1498608782/1000000</f>
        <v>1498.608782</v>
      </c>
      <c r="C35" s="370">
        <f t="shared" si="1"/>
        <v>1498.608782</v>
      </c>
      <c r="D35" s="33"/>
    </row>
    <row r="36" spans="1:5" x14ac:dyDescent="0.35">
      <c r="A36" s="373" t="s">
        <v>296</v>
      </c>
      <c r="B36" s="374">
        <f>SUM(B27:B35)</f>
        <v>94614.377882000015</v>
      </c>
      <c r="C36" s="374">
        <f>SUM(C27:C35)</f>
        <v>94614.377882000015</v>
      </c>
      <c r="D36" s="33"/>
    </row>
    <row r="37" spans="1:5" x14ac:dyDescent="0.35">
      <c r="A37" s="375" t="s">
        <v>297</v>
      </c>
      <c r="B37" s="37"/>
      <c r="C37" s="37"/>
      <c r="D37" s="38"/>
    </row>
    <row r="38" spans="1:5" x14ac:dyDescent="0.35">
      <c r="A38" s="40" t="s">
        <v>28</v>
      </c>
      <c r="B38" s="370">
        <f>9295981630.05/1000000</f>
        <v>9295.9816300499988</v>
      </c>
      <c r="C38" s="370">
        <f t="shared" ref="C38:C43" si="2">+B38</f>
        <v>9295.9816300499988</v>
      </c>
      <c r="D38" s="376" t="s">
        <v>2</v>
      </c>
    </row>
    <row r="39" spans="1:5" x14ac:dyDescent="0.35">
      <c r="A39" s="40" t="s">
        <v>298</v>
      </c>
      <c r="B39" s="370">
        <f>2100000000/1000000</f>
        <v>2100</v>
      </c>
      <c r="C39" s="370">
        <f t="shared" si="2"/>
        <v>2100</v>
      </c>
      <c r="D39" s="377" t="s">
        <v>29</v>
      </c>
    </row>
    <row r="40" spans="1:5" x14ac:dyDescent="0.35">
      <c r="A40" s="369" t="s">
        <v>299</v>
      </c>
      <c r="B40" s="370">
        <f>980455617/1000000</f>
        <v>980.45561699999996</v>
      </c>
      <c r="C40" s="370">
        <f t="shared" si="2"/>
        <v>980.45561699999996</v>
      </c>
      <c r="D40" s="377" t="s">
        <v>30</v>
      </c>
    </row>
    <row r="41" spans="1:5" x14ac:dyDescent="0.35">
      <c r="A41" s="369" t="s">
        <v>300</v>
      </c>
      <c r="B41" s="370">
        <f>6215526013/1000000</f>
        <v>6215.5260129999997</v>
      </c>
      <c r="C41" s="370">
        <f t="shared" si="2"/>
        <v>6215.5260129999997</v>
      </c>
      <c r="D41" s="377" t="s">
        <v>31</v>
      </c>
    </row>
    <row r="42" spans="1:5" x14ac:dyDescent="0.35">
      <c r="A42" s="369" t="s">
        <v>301</v>
      </c>
      <c r="B42" s="370">
        <f>748654927/1000000</f>
        <v>748.65492700000004</v>
      </c>
      <c r="C42" s="370">
        <f t="shared" si="2"/>
        <v>748.65492700000004</v>
      </c>
      <c r="D42" s="377" t="s">
        <v>32</v>
      </c>
    </row>
    <row r="43" spans="1:5" x14ac:dyDescent="0.35">
      <c r="A43" s="369" t="s">
        <v>302</v>
      </c>
      <c r="B43" s="370">
        <f>1427490253/1000000</f>
        <v>1427.4902529999999</v>
      </c>
      <c r="C43" s="370">
        <f t="shared" si="2"/>
        <v>1427.4902529999999</v>
      </c>
      <c r="D43" s="377" t="s">
        <v>33</v>
      </c>
    </row>
    <row r="44" spans="1:5" x14ac:dyDescent="0.35">
      <c r="A44" s="378" t="s">
        <v>303</v>
      </c>
      <c r="B44" s="374">
        <f>+B38+B43+B42</f>
        <v>11472.126810049998</v>
      </c>
      <c r="C44" s="374">
        <f>+C38+C43+C42</f>
        <v>11472.126810049998</v>
      </c>
      <c r="D44" s="379" t="s">
        <v>2</v>
      </c>
      <c r="E44" s="41">
        <f>+B44+748.7</f>
        <v>12220.826810049999</v>
      </c>
    </row>
    <row r="45" spans="1:5" x14ac:dyDescent="0.35">
      <c r="A45" s="373" t="s">
        <v>304</v>
      </c>
      <c r="B45" s="374">
        <f>+B36+B44</f>
        <v>106086.50469205002</v>
      </c>
      <c r="C45" s="374">
        <f>+C36+C44</f>
        <v>106086.50469205002</v>
      </c>
      <c r="D45" s="33"/>
    </row>
  </sheetData>
  <mergeCells count="4">
    <mergeCell ref="A37:D37"/>
    <mergeCell ref="A3:D4"/>
    <mergeCell ref="A9:D9"/>
    <mergeCell ref="A26:D26"/>
  </mergeCells>
  <pageMargins left="0.7" right="0.7" top="0.75" bottom="0.75" header="0.3" footer="0.3"/>
  <pageSetup paperSize="9" scale="5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62A7-32AC-43F1-B4C8-603DFAAF9D4F}">
  <sheetPr>
    <pageSetUpPr fitToPage="1"/>
  </sheetPr>
  <dimension ref="A2:O12"/>
  <sheetViews>
    <sheetView topLeftCell="B1" workbookViewId="0">
      <selection activeCell="B3" sqref="B3"/>
    </sheetView>
  </sheetViews>
  <sheetFormatPr defaultRowHeight="14.5" x14ac:dyDescent="0.35"/>
  <cols>
    <col min="1" max="1" width="3.54296875" hidden="1" customWidth="1"/>
  </cols>
  <sheetData>
    <row r="2" spans="1:15" ht="18.5" x14ac:dyDescent="0.35">
      <c r="B2" s="43" t="s">
        <v>307</v>
      </c>
    </row>
    <row r="3" spans="1:15" ht="18.5" x14ac:dyDescent="0.35">
      <c r="B3" s="43"/>
    </row>
    <row r="5" spans="1:15" x14ac:dyDescent="0.35">
      <c r="A5" s="44"/>
      <c r="B5" s="381"/>
      <c r="C5" s="48" t="s">
        <v>22</v>
      </c>
      <c r="D5" s="48" t="s">
        <v>23</v>
      </c>
      <c r="E5" s="48" t="s">
        <v>24</v>
      </c>
      <c r="F5" s="48" t="s">
        <v>34</v>
      </c>
      <c r="G5" s="48" t="s">
        <v>35</v>
      </c>
      <c r="H5" s="48" t="s">
        <v>36</v>
      </c>
      <c r="I5" s="48" t="s">
        <v>37</v>
      </c>
      <c r="J5" s="48" t="s">
        <v>38</v>
      </c>
      <c r="K5" s="48" t="s">
        <v>39</v>
      </c>
      <c r="L5" s="48" t="s">
        <v>40</v>
      </c>
      <c r="M5" s="48" t="s">
        <v>41</v>
      </c>
      <c r="N5" s="48" t="s">
        <v>42</v>
      </c>
      <c r="O5" s="48" t="s">
        <v>43</v>
      </c>
    </row>
    <row r="6" spans="1:15" x14ac:dyDescent="0.35">
      <c r="A6" s="45"/>
      <c r="B6" s="382"/>
      <c r="C6" s="383" t="s">
        <v>308</v>
      </c>
      <c r="D6" s="384"/>
      <c r="E6" s="383" t="s">
        <v>309</v>
      </c>
      <c r="F6" s="384"/>
      <c r="G6" s="46" t="s">
        <v>310</v>
      </c>
      <c r="H6" s="46" t="s">
        <v>311</v>
      </c>
      <c r="I6" s="383" t="s">
        <v>312</v>
      </c>
      <c r="J6" s="385"/>
      <c r="K6" s="385"/>
      <c r="L6" s="384"/>
      <c r="M6" s="46" t="s">
        <v>313</v>
      </c>
      <c r="N6" s="46" t="s">
        <v>314</v>
      </c>
      <c r="O6" s="46" t="s">
        <v>315</v>
      </c>
    </row>
    <row r="7" spans="1:15" ht="21.75" customHeight="1" x14ac:dyDescent="0.35">
      <c r="A7" s="45"/>
      <c r="B7" s="382"/>
      <c r="C7" s="386"/>
      <c r="D7" s="387"/>
      <c r="E7" s="386"/>
      <c r="F7" s="387"/>
      <c r="G7" s="47"/>
      <c r="H7" s="47"/>
      <c r="I7" s="386"/>
      <c r="J7" s="388"/>
      <c r="K7" s="388"/>
      <c r="L7" s="389"/>
      <c r="M7" s="47"/>
      <c r="N7" s="47"/>
      <c r="O7" s="47"/>
    </row>
    <row r="8" spans="1:15" ht="108" x14ac:dyDescent="0.35">
      <c r="A8" s="390"/>
      <c r="B8" s="391"/>
      <c r="C8" s="48" t="s">
        <v>316</v>
      </c>
      <c r="D8" s="48" t="s">
        <v>317</v>
      </c>
      <c r="E8" s="48" t="s">
        <v>318</v>
      </c>
      <c r="F8" s="48" t="s">
        <v>319</v>
      </c>
      <c r="G8" s="49"/>
      <c r="H8" s="49"/>
      <c r="I8" s="50" t="s">
        <v>320</v>
      </c>
      <c r="J8" s="50" t="s">
        <v>309</v>
      </c>
      <c r="K8" s="50" t="s">
        <v>321</v>
      </c>
      <c r="L8" s="380" t="s">
        <v>322</v>
      </c>
      <c r="M8" s="49"/>
      <c r="N8" s="49"/>
      <c r="O8" s="49"/>
    </row>
    <row r="9" spans="1:15" x14ac:dyDescent="0.35">
      <c r="A9" s="51" t="s">
        <v>44</v>
      </c>
      <c r="B9" s="52" t="s">
        <v>323</v>
      </c>
      <c r="C9" s="53"/>
      <c r="D9" s="53"/>
      <c r="E9" s="53"/>
      <c r="F9" s="53"/>
      <c r="G9" s="53"/>
      <c r="H9" s="53"/>
      <c r="I9" s="53"/>
      <c r="J9" s="53"/>
      <c r="K9" s="53"/>
      <c r="L9" s="53"/>
      <c r="M9" s="53"/>
      <c r="N9" s="54"/>
      <c r="O9" s="54"/>
    </row>
    <row r="10" spans="1:15" x14ac:dyDescent="0.35">
      <c r="A10" s="44"/>
      <c r="B10" s="55" t="s">
        <v>324</v>
      </c>
      <c r="C10" s="56">
        <f>72678393875/1000000</f>
        <v>72678.393874999994</v>
      </c>
      <c r="D10" s="56">
        <v>0</v>
      </c>
      <c r="E10" s="56">
        <f>26018972203/1000000</f>
        <v>26018.972203000001</v>
      </c>
      <c r="F10" s="56">
        <v>0</v>
      </c>
      <c r="G10" s="56">
        <v>0</v>
      </c>
      <c r="H10" s="56">
        <f>+C10+E10</f>
        <v>98697.366077999992</v>
      </c>
      <c r="I10" s="56">
        <f>3812809827/1000000</f>
        <v>3812.809827</v>
      </c>
      <c r="J10" s="56">
        <f>281335096.3/1000000</f>
        <v>281.33509630000003</v>
      </c>
      <c r="K10" s="56">
        <v>0</v>
      </c>
      <c r="L10" s="56">
        <f>+I10+J10+K10</f>
        <v>4094.1449233000003</v>
      </c>
      <c r="M10" s="56">
        <f>51176811541/1000000</f>
        <v>51176.811541000003</v>
      </c>
      <c r="N10" s="57">
        <v>0.95484246299999997</v>
      </c>
      <c r="O10" s="56">
        <v>0</v>
      </c>
    </row>
    <row r="11" spans="1:15" x14ac:dyDescent="0.35">
      <c r="A11" s="44"/>
      <c r="B11" s="58" t="s">
        <v>325</v>
      </c>
      <c r="C11" s="59">
        <f>318975937.1/1000000</f>
        <v>318.97593710000001</v>
      </c>
      <c r="D11" s="59">
        <v>0</v>
      </c>
      <c r="E11" s="59">
        <f>2986568860/1000000</f>
        <v>2986.5688599999999</v>
      </c>
      <c r="F11" s="59">
        <v>0</v>
      </c>
      <c r="G11" s="59">
        <v>0</v>
      </c>
      <c r="H11" s="56">
        <f>+C11+E11</f>
        <v>3305.5447970999999</v>
      </c>
      <c r="I11" s="59">
        <f>23881579.4/1000000</f>
        <v>23.8815794</v>
      </c>
      <c r="J11" s="59">
        <f>11804703.93/1000000</f>
        <v>11.804703930000001</v>
      </c>
      <c r="K11" s="59">
        <v>0</v>
      </c>
      <c r="L11" s="56">
        <f>+I11+J11+K11</f>
        <v>35.686283330000002</v>
      </c>
      <c r="M11" s="59">
        <f>446078541.6/1000000</f>
        <v>446.07854160000005</v>
      </c>
      <c r="N11" s="60">
        <v>4.5157536999999998E-2</v>
      </c>
      <c r="O11" s="59">
        <v>0</v>
      </c>
    </row>
    <row r="12" spans="1:15" x14ac:dyDescent="0.35">
      <c r="A12" s="44"/>
      <c r="B12" s="61" t="s">
        <v>46</v>
      </c>
      <c r="C12" s="62">
        <f>+C10+C11</f>
        <v>72997.369812099991</v>
      </c>
      <c r="D12" s="59">
        <v>0</v>
      </c>
      <c r="E12" s="62">
        <f>+E10+E11</f>
        <v>29005.541063000001</v>
      </c>
      <c r="F12" s="59">
        <v>0</v>
      </c>
      <c r="G12" s="59">
        <v>0</v>
      </c>
      <c r="H12" s="63">
        <f>+C12+E12</f>
        <v>102002.91087509999</v>
      </c>
      <c r="I12" s="62">
        <f>+I10+I11</f>
        <v>3836.6914064000002</v>
      </c>
      <c r="J12" s="62">
        <f>+J10+J11</f>
        <v>293.13980023000005</v>
      </c>
      <c r="K12" s="59">
        <v>0</v>
      </c>
      <c r="L12" s="63">
        <f>+I12+J12+K12</f>
        <v>4129.8312066300005</v>
      </c>
      <c r="M12" s="62">
        <f>+M10+M11</f>
        <v>51622.890082600003</v>
      </c>
      <c r="N12" s="64">
        <v>1</v>
      </c>
      <c r="O12" s="65" t="s">
        <v>2</v>
      </c>
    </row>
  </sheetData>
  <mergeCells count="8">
    <mergeCell ref="N6:N8"/>
    <mergeCell ref="O6:O8"/>
    <mergeCell ref="C6:D7"/>
    <mergeCell ref="E6:F7"/>
    <mergeCell ref="G6:G8"/>
    <mergeCell ref="H6:H8"/>
    <mergeCell ref="I6:L7"/>
    <mergeCell ref="M6:M8"/>
  </mergeCells>
  <pageMargins left="0.7" right="0.7" top="0.75" bottom="0.75" header="0.3" footer="0.3"/>
  <pageSetup paperSize="9" scale="6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C1A1-C425-4CC3-B2EA-D64E9344C18F}">
  <sheetPr>
    <pageSetUpPr fitToPage="1"/>
  </sheetPr>
  <dimension ref="A3:C9"/>
  <sheetViews>
    <sheetView workbookViewId="0"/>
  </sheetViews>
  <sheetFormatPr defaultRowHeight="14.5" x14ac:dyDescent="0.35"/>
  <cols>
    <col min="2" max="2" width="14" customWidth="1"/>
    <col min="3" max="3" width="97.26953125" customWidth="1"/>
  </cols>
  <sheetData>
    <row r="3" spans="1:3" ht="18.5" x14ac:dyDescent="0.45">
      <c r="A3" s="2" t="s">
        <v>327</v>
      </c>
    </row>
    <row r="6" spans="1:3" x14ac:dyDescent="0.35">
      <c r="A6" s="3"/>
      <c r="B6" s="3"/>
      <c r="C6" s="67" t="s">
        <v>22</v>
      </c>
    </row>
    <row r="7" spans="1:3" ht="43.5" x14ac:dyDescent="0.35">
      <c r="A7" s="68">
        <v>1</v>
      </c>
      <c r="B7" s="69" t="s">
        <v>328</v>
      </c>
      <c r="C7" s="70">
        <f>62942737357/1000000</f>
        <v>62942.737356999998</v>
      </c>
    </row>
    <row r="8" spans="1:3" ht="72.5" x14ac:dyDescent="0.35">
      <c r="A8" s="68">
        <v>2</v>
      </c>
      <c r="B8" s="69" t="s">
        <v>329</v>
      </c>
      <c r="C8" s="71">
        <v>0</v>
      </c>
    </row>
    <row r="9" spans="1:3" ht="87" x14ac:dyDescent="0.35">
      <c r="A9" s="68">
        <v>3</v>
      </c>
      <c r="B9" s="69" t="s">
        <v>330</v>
      </c>
      <c r="C9" s="70">
        <v>0</v>
      </c>
    </row>
  </sheetData>
  <pageMargins left="0.7" right="0.7" top="0.75" bottom="0.75" header="0.3" footer="0.3"/>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5B0D1-6EA8-490F-A130-1794FF1CCA35}">
  <sheetPr>
    <pageSetUpPr fitToPage="1"/>
  </sheetPr>
  <dimension ref="A2:Q31"/>
  <sheetViews>
    <sheetView workbookViewId="0">
      <selection activeCell="A3" sqref="A3"/>
    </sheetView>
  </sheetViews>
  <sheetFormatPr defaultRowHeight="14.5" x14ac:dyDescent="0.35"/>
  <cols>
    <col min="2" max="2" width="25.7265625" customWidth="1"/>
    <col min="3" max="4" width="11" bestFit="1" customWidth="1"/>
    <col min="5" max="5" width="10.1796875" bestFit="1" customWidth="1"/>
    <col min="6" max="10" width="9.453125" bestFit="1" customWidth="1"/>
    <col min="11" max="11" width="10.7265625" customWidth="1"/>
    <col min="12" max="12" width="11" customWidth="1"/>
    <col min="13" max="13" width="12.453125" customWidth="1"/>
    <col min="14" max="14" width="12.1796875" customWidth="1"/>
    <col min="15" max="15" width="11.81640625" customWidth="1"/>
    <col min="16" max="16" width="10" bestFit="1" customWidth="1"/>
    <col min="17" max="17" width="9.453125" bestFit="1" customWidth="1"/>
  </cols>
  <sheetData>
    <row r="2" spans="1:17" ht="18.5" x14ac:dyDescent="0.35">
      <c r="A2" s="43" t="s">
        <v>372</v>
      </c>
    </row>
    <row r="3" spans="1:17" ht="15.5" x14ac:dyDescent="0.35">
      <c r="A3" s="276"/>
      <c r="B3" s="410"/>
      <c r="C3" s="410"/>
      <c r="D3" s="410"/>
      <c r="E3" s="410"/>
      <c r="F3" s="410"/>
      <c r="G3" s="410"/>
      <c r="H3" s="410"/>
      <c r="I3" s="410"/>
      <c r="J3" s="410"/>
      <c r="K3" s="410"/>
      <c r="L3" s="410"/>
      <c r="M3" s="410"/>
      <c r="N3" s="410"/>
      <c r="O3" s="410"/>
      <c r="P3" s="410"/>
      <c r="Q3" s="410"/>
    </row>
    <row r="4" spans="1:17" ht="16" thickBot="1" x14ac:dyDescent="0.4">
      <c r="A4" s="276"/>
      <c r="B4" s="410"/>
      <c r="C4" s="410"/>
      <c r="D4" s="410"/>
      <c r="E4" s="410"/>
      <c r="F4" s="410"/>
      <c r="G4" s="410"/>
      <c r="H4" s="410"/>
      <c r="I4" s="410"/>
      <c r="J4" s="410"/>
      <c r="K4" s="410"/>
      <c r="L4" s="410"/>
      <c r="M4" s="410"/>
      <c r="N4" s="410"/>
      <c r="O4" s="410"/>
      <c r="P4" s="410"/>
      <c r="Q4" s="410"/>
    </row>
    <row r="5" spans="1:17" ht="16" thickBot="1" x14ac:dyDescent="0.4">
      <c r="A5" s="411"/>
      <c r="B5" s="412"/>
      <c r="C5" s="413" t="s">
        <v>22</v>
      </c>
      <c r="D5" s="414" t="s">
        <v>23</v>
      </c>
      <c r="E5" s="414" t="s">
        <v>24</v>
      </c>
      <c r="F5" s="414" t="s">
        <v>34</v>
      </c>
      <c r="G5" s="414" t="s">
        <v>35</v>
      </c>
      <c r="H5" s="414" t="s">
        <v>36</v>
      </c>
      <c r="I5" s="414" t="s">
        <v>37</v>
      </c>
      <c r="J5" s="414" t="s">
        <v>38</v>
      </c>
      <c r="K5" s="414" t="s">
        <v>39</v>
      </c>
      <c r="L5" s="414" t="s">
        <v>40</v>
      </c>
      <c r="M5" s="414" t="s">
        <v>41</v>
      </c>
      <c r="N5" s="414" t="s">
        <v>42</v>
      </c>
      <c r="O5" s="414" t="s">
        <v>43</v>
      </c>
      <c r="P5" s="414" t="s">
        <v>47</v>
      </c>
      <c r="Q5" s="414" t="s">
        <v>48</v>
      </c>
    </row>
    <row r="6" spans="1:17" ht="23.25" customHeight="1" thickBot="1" x14ac:dyDescent="0.4">
      <c r="A6" s="415"/>
      <c r="B6" s="416"/>
      <c r="C6" s="417" t="s">
        <v>373</v>
      </c>
      <c r="D6" s="418"/>
      <c r="E6" s="418"/>
      <c r="F6" s="418"/>
      <c r="G6" s="418"/>
      <c r="H6" s="419"/>
      <c r="I6" s="420" t="s">
        <v>374</v>
      </c>
      <c r="J6" s="418"/>
      <c r="K6" s="418"/>
      <c r="L6" s="418"/>
      <c r="M6" s="418"/>
      <c r="N6" s="419"/>
      <c r="O6" s="421" t="s">
        <v>375</v>
      </c>
      <c r="P6" s="417" t="s">
        <v>376</v>
      </c>
      <c r="Q6" s="419"/>
    </row>
    <row r="7" spans="1:17" ht="36" customHeight="1" thickBot="1" x14ac:dyDescent="0.4">
      <c r="A7" s="422"/>
      <c r="B7" s="423"/>
      <c r="C7" s="424" t="s">
        <v>377</v>
      </c>
      <c r="D7" s="425"/>
      <c r="E7" s="426"/>
      <c r="F7" s="427" t="s">
        <v>378</v>
      </c>
      <c r="G7" s="425"/>
      <c r="H7" s="426"/>
      <c r="I7" s="427" t="s">
        <v>379</v>
      </c>
      <c r="J7" s="425"/>
      <c r="K7" s="426"/>
      <c r="L7" s="427" t="s">
        <v>380</v>
      </c>
      <c r="M7" s="425"/>
      <c r="N7" s="426"/>
      <c r="O7" s="428"/>
      <c r="P7" s="429" t="s">
        <v>381</v>
      </c>
      <c r="Q7" s="429" t="s">
        <v>382</v>
      </c>
    </row>
    <row r="8" spans="1:17" ht="25.5" thickBot="1" x14ac:dyDescent="0.4">
      <c r="A8" s="430"/>
      <c r="B8" s="431"/>
      <c r="C8" s="432"/>
      <c r="D8" s="414" t="s">
        <v>383</v>
      </c>
      <c r="E8" s="414" t="s">
        <v>384</v>
      </c>
      <c r="F8" s="432"/>
      <c r="G8" s="414" t="s">
        <v>384</v>
      </c>
      <c r="H8" s="414" t="s">
        <v>385</v>
      </c>
      <c r="I8" s="433"/>
      <c r="J8" s="434" t="s">
        <v>383</v>
      </c>
      <c r="K8" s="434" t="s">
        <v>384</v>
      </c>
      <c r="L8" s="432"/>
      <c r="M8" s="434" t="s">
        <v>384</v>
      </c>
      <c r="N8" s="434" t="s">
        <v>385</v>
      </c>
      <c r="O8" s="432"/>
      <c r="P8" s="435"/>
      <c r="Q8" s="435"/>
    </row>
    <row r="9" spans="1:17" ht="22.5" customHeight="1" thickBot="1" x14ac:dyDescent="0.4">
      <c r="A9" s="436" t="s">
        <v>49</v>
      </c>
      <c r="B9" s="437" t="s">
        <v>386</v>
      </c>
      <c r="C9" s="438">
        <f>'[1]EU CR1 DK'!C8</f>
        <v>9521.6755469199998</v>
      </c>
      <c r="D9" s="438">
        <f>'[1]EU CR1 DK'!D8</f>
        <v>9521.6755469199998</v>
      </c>
      <c r="E9" s="438">
        <f>'[1]EU CR1 DK'!E8</f>
        <v>0</v>
      </c>
      <c r="F9" s="438">
        <f>'[1]EU CR1 DK'!F8</f>
        <v>0</v>
      </c>
      <c r="G9" s="438">
        <f>'[1]EU CR1 DK'!G8</f>
        <v>0</v>
      </c>
      <c r="H9" s="438">
        <f>'[1]EU CR1 DK'!H8</f>
        <v>0</v>
      </c>
      <c r="I9" s="438">
        <f>'[1]EU CR1 DK'!I8</f>
        <v>0</v>
      </c>
      <c r="J9" s="438">
        <f>'[1]EU CR1 DK'!J8</f>
        <v>0</v>
      </c>
      <c r="K9" s="438">
        <f>'[1]EU CR1 DK'!K8</f>
        <v>0</v>
      </c>
      <c r="L9" s="438">
        <f>'[1]EU CR1 DK'!L8</f>
        <v>0</v>
      </c>
      <c r="M9" s="438">
        <f>'[1]EU CR1 DK'!M8</f>
        <v>0</v>
      </c>
      <c r="N9" s="438">
        <f>'[1]EU CR1 DK'!N8</f>
        <v>0</v>
      </c>
      <c r="O9" s="438">
        <f>'[1]EU CR1 DK'!O8</f>
        <v>0</v>
      </c>
      <c r="P9" s="438">
        <f>'[1]EU CR1 DK'!P8</f>
        <v>0</v>
      </c>
      <c r="Q9" s="438">
        <f>'[1]EU CR1 DK'!Q8</f>
        <v>0</v>
      </c>
    </row>
    <row r="10" spans="1:17" ht="22.5" customHeight="1" thickBot="1" x14ac:dyDescent="0.4">
      <c r="A10" s="436" t="s">
        <v>44</v>
      </c>
      <c r="B10" s="437" t="s">
        <v>387</v>
      </c>
      <c r="C10" s="438">
        <f>'[1]EU CR1 DK'!C9</f>
        <v>42995.24770142429</v>
      </c>
      <c r="D10" s="438">
        <f>'[1]EU CR1 DK'!D9</f>
        <v>36714.31844770343</v>
      </c>
      <c r="E10" s="438">
        <f>'[1]EU CR1 DK'!E9</f>
        <v>6158.7053261187048</v>
      </c>
      <c r="F10" s="438">
        <f>'[1]EU CR1 DK'!F9</f>
        <v>3132.8062990070021</v>
      </c>
      <c r="G10" s="438">
        <f>'[1]EU CR1 DK'!G9</f>
        <v>128.09637438000001</v>
      </c>
      <c r="H10" s="438">
        <f>'[1]EU CR1 DK'!H9</f>
        <v>2883.0090183570019</v>
      </c>
      <c r="I10" s="438">
        <f>'[1]EU CR1 DK'!I9</f>
        <v>334.97200744423236</v>
      </c>
      <c r="J10" s="438">
        <f>'[1]EU CR1 DK'!J9</f>
        <v>149.25958125503598</v>
      </c>
      <c r="K10" s="438">
        <f>'[1]EU CR1 DK'!K9</f>
        <v>185.71242618919615</v>
      </c>
      <c r="L10" s="438">
        <f>'[1]EU CR1 DK'!L9</f>
        <v>862.04141441317893</v>
      </c>
      <c r="M10" s="438">
        <f>'[1]EU CR1 DK'!M9</f>
        <v>7.5710294625644963</v>
      </c>
      <c r="N10" s="438">
        <f>'[1]EU CR1 DK'!N9</f>
        <v>849.2241665098004</v>
      </c>
      <c r="O10" s="438">
        <f>'[1]EU CR1 DK'!O9</f>
        <v>0</v>
      </c>
      <c r="P10" s="438">
        <f>'[1]EU CR1 DK'!P9</f>
        <v>36202.548323576244</v>
      </c>
      <c r="Q10" s="438">
        <f>'[1]EU CR1 DK'!Q9</f>
        <v>2444.8839157745324</v>
      </c>
    </row>
    <row r="11" spans="1:17" ht="22.5" customHeight="1" thickBot="1" x14ac:dyDescent="0.4">
      <c r="A11" s="439" t="s">
        <v>45</v>
      </c>
      <c r="B11" s="440" t="s">
        <v>388</v>
      </c>
      <c r="C11" s="438">
        <f>'[1]EU CR1 DK'!C10</f>
        <v>0</v>
      </c>
      <c r="D11" s="438">
        <f>'[1]EU CR1 DK'!D10</f>
        <v>0</v>
      </c>
      <c r="E11" s="438">
        <f>'[1]EU CR1 DK'!E10</f>
        <v>0</v>
      </c>
      <c r="F11" s="438">
        <f>'[1]EU CR1 DK'!F10</f>
        <v>0</v>
      </c>
      <c r="G11" s="438">
        <f>'[1]EU CR1 DK'!G10</f>
        <v>0</v>
      </c>
      <c r="H11" s="438">
        <f>'[1]EU CR1 DK'!H10</f>
        <v>0</v>
      </c>
      <c r="I11" s="438">
        <f>'[1]EU CR1 DK'!I10</f>
        <v>0</v>
      </c>
      <c r="J11" s="438">
        <f>'[1]EU CR1 DK'!J10</f>
        <v>0</v>
      </c>
      <c r="K11" s="438">
        <f>'[1]EU CR1 DK'!K10</f>
        <v>0</v>
      </c>
      <c r="L11" s="438">
        <f>'[1]EU CR1 DK'!L10</f>
        <v>0</v>
      </c>
      <c r="M11" s="438">
        <f>'[1]EU CR1 DK'!M10</f>
        <v>0</v>
      </c>
      <c r="N11" s="438">
        <f>'[1]EU CR1 DK'!N10</f>
        <v>0</v>
      </c>
      <c r="O11" s="438">
        <f>'[1]EU CR1 DK'!O10</f>
        <v>0</v>
      </c>
      <c r="P11" s="438">
        <f>'[1]EU CR1 DK'!P10</f>
        <v>0</v>
      </c>
      <c r="Q11" s="438">
        <f>'[1]EU CR1 DK'!Q10</f>
        <v>0</v>
      </c>
    </row>
    <row r="12" spans="1:17" ht="22.5" customHeight="1" thickBot="1" x14ac:dyDescent="0.4">
      <c r="A12" s="439" t="s">
        <v>50</v>
      </c>
      <c r="B12" s="440" t="s">
        <v>389</v>
      </c>
      <c r="C12" s="438">
        <f>'[1]EU CR1 DK'!C11</f>
        <v>0</v>
      </c>
      <c r="D12" s="438">
        <f>'[1]EU CR1 DK'!D11</f>
        <v>0</v>
      </c>
      <c r="E12" s="438">
        <f>'[1]EU CR1 DK'!E11</f>
        <v>0</v>
      </c>
      <c r="F12" s="438">
        <f>'[1]EU CR1 DK'!F11</f>
        <v>0</v>
      </c>
      <c r="G12" s="438">
        <f>'[1]EU CR1 DK'!G11</f>
        <v>0</v>
      </c>
      <c r="H12" s="438">
        <f>'[1]EU CR1 DK'!H11</f>
        <v>0</v>
      </c>
      <c r="I12" s="438">
        <f>'[1]EU CR1 DK'!I11</f>
        <v>0</v>
      </c>
      <c r="J12" s="438">
        <f>'[1]EU CR1 DK'!J11</f>
        <v>0</v>
      </c>
      <c r="K12" s="438">
        <f>'[1]EU CR1 DK'!K11</f>
        <v>0</v>
      </c>
      <c r="L12" s="438">
        <f>'[1]EU CR1 DK'!L11</f>
        <v>0</v>
      </c>
      <c r="M12" s="438">
        <f>'[1]EU CR1 DK'!M11</f>
        <v>0</v>
      </c>
      <c r="N12" s="438">
        <f>'[1]EU CR1 DK'!N11</f>
        <v>0</v>
      </c>
      <c r="O12" s="438">
        <f>'[1]EU CR1 DK'!O11</f>
        <v>0</v>
      </c>
      <c r="P12" s="438">
        <f>'[1]EU CR1 DK'!P11</f>
        <v>0</v>
      </c>
      <c r="Q12" s="438">
        <f>'[1]EU CR1 DK'!Q11</f>
        <v>0</v>
      </c>
    </row>
    <row r="13" spans="1:17" ht="22.5" customHeight="1" thickBot="1" x14ac:dyDescent="0.4">
      <c r="A13" s="439" t="s">
        <v>51</v>
      </c>
      <c r="B13" s="440" t="s">
        <v>390</v>
      </c>
      <c r="C13" s="438">
        <f>'[1]EU CR1 DK'!C12</f>
        <v>619.57195159000003</v>
      </c>
      <c r="D13" s="438">
        <f>'[1]EU CR1 DK'!D12</f>
        <v>496.08972055999999</v>
      </c>
      <c r="E13" s="438">
        <f>'[1]EU CR1 DK'!E12</f>
        <v>1.2763514199999999</v>
      </c>
      <c r="F13" s="438">
        <f>'[1]EU CR1 DK'!F12</f>
        <v>8</v>
      </c>
      <c r="G13" s="438">
        <f>'[1]EU CR1 DK'!G12</f>
        <v>0</v>
      </c>
      <c r="H13" s="438">
        <f>'[1]EU CR1 DK'!H12</f>
        <v>8</v>
      </c>
      <c r="I13" s="438">
        <f>'[1]EU CR1 DK'!I12</f>
        <v>0.19186771426000002</v>
      </c>
      <c r="J13" s="438">
        <f>'[1]EU CR1 DK'!J12</f>
        <v>0.19103809426000001</v>
      </c>
      <c r="K13" s="438">
        <f>'[1]EU CR1 DK'!K12</f>
        <v>8.2961999999999999E-4</v>
      </c>
      <c r="L13" s="438">
        <f>'[1]EU CR1 DK'!L12</f>
        <v>8</v>
      </c>
      <c r="M13" s="438">
        <f>'[1]EU CR1 DK'!M12</f>
        <v>0</v>
      </c>
      <c r="N13" s="438">
        <f>'[1]EU CR1 DK'!N12</f>
        <v>8</v>
      </c>
      <c r="O13" s="438">
        <f>'[1]EU CR1 DK'!O12</f>
        <v>0</v>
      </c>
      <c r="P13" s="438">
        <f>'[1]EU CR1 DK'!P12</f>
        <v>1.5439999999999998E-5</v>
      </c>
      <c r="Q13" s="438">
        <f>'[1]EU CR1 DK'!Q12</f>
        <v>0</v>
      </c>
    </row>
    <row r="14" spans="1:17" ht="22.5" customHeight="1" thickBot="1" x14ac:dyDescent="0.4">
      <c r="A14" s="439" t="s">
        <v>52</v>
      </c>
      <c r="B14" s="440" t="s">
        <v>391</v>
      </c>
      <c r="C14" s="438">
        <f>'[1]EU CR1 DK'!C13</f>
        <v>1633.987088304001</v>
      </c>
      <c r="D14" s="438">
        <f>'[1]EU CR1 DK'!D13</f>
        <v>1410.2397640490001</v>
      </c>
      <c r="E14" s="438">
        <f>'[1]EU CR1 DK'!E13</f>
        <v>223.747324255</v>
      </c>
      <c r="F14" s="438">
        <f>'[1]EU CR1 DK'!F13</f>
        <v>127.901745346</v>
      </c>
      <c r="G14" s="438">
        <f>'[1]EU CR1 DK'!G13</f>
        <v>5.3159899999999996E-3</v>
      </c>
      <c r="H14" s="438">
        <f>'[1]EU CR1 DK'!H13</f>
        <v>113.09840274599999</v>
      </c>
      <c r="I14" s="438">
        <f>'[1]EU CR1 DK'!I13</f>
        <v>18.257698194990098</v>
      </c>
      <c r="J14" s="438">
        <f>'[1]EU CR1 DK'!J13</f>
        <v>9.7296051355060182</v>
      </c>
      <c r="K14" s="438">
        <f>'[1]EU CR1 DK'!K13</f>
        <v>8.5280930594840694</v>
      </c>
      <c r="L14" s="438">
        <f>'[1]EU CR1 DK'!L13</f>
        <v>73.638715079472206</v>
      </c>
      <c r="M14" s="438">
        <f>'[1]EU CR1 DK'!M13</f>
        <v>6.9684E-4</v>
      </c>
      <c r="N14" s="438">
        <f>'[1]EU CR1 DK'!N13</f>
        <v>73.552714405885993</v>
      </c>
      <c r="O14" s="438">
        <f>'[1]EU CR1 DK'!O13</f>
        <v>0</v>
      </c>
      <c r="P14" s="438">
        <f>'[1]EU CR1 DK'!P13</f>
        <v>565.41903355993293</v>
      </c>
      <c r="Q14" s="438">
        <f>'[1]EU CR1 DK'!Q13</f>
        <v>36.439510757920601</v>
      </c>
    </row>
    <row r="15" spans="1:17" ht="22.5" customHeight="1" thickBot="1" x14ac:dyDescent="0.4">
      <c r="A15" s="439" t="s">
        <v>53</v>
      </c>
      <c r="B15" s="440" t="s">
        <v>392</v>
      </c>
      <c r="C15" s="438">
        <f>'[1]EU CR1 DK'!C14</f>
        <v>15038.877789911547</v>
      </c>
      <c r="D15" s="438">
        <f>'[1]EU CR1 DK'!D14</f>
        <v>11211.265924800015</v>
      </c>
      <c r="E15" s="438">
        <f>'[1]EU CR1 DK'!E14</f>
        <v>3827.5938171193607</v>
      </c>
      <c r="F15" s="438">
        <f>'[1]EU CR1 DK'!F14</f>
        <v>1960.4819211710001</v>
      </c>
      <c r="G15" s="438">
        <f>'[1]EU CR1 DK'!G14</f>
        <v>77.00544273300001</v>
      </c>
      <c r="H15" s="438">
        <f>'[1]EU CR1 DK'!H14</f>
        <v>1820.291129638</v>
      </c>
      <c r="I15" s="438">
        <f>'[1]EU CR1 DK'!I14</f>
        <v>174.39215151424318</v>
      </c>
      <c r="J15" s="438">
        <f>'[1]EU CR1 DK'!J14</f>
        <v>78.910613042546004</v>
      </c>
      <c r="K15" s="438">
        <f>'[1]EU CR1 DK'!K14</f>
        <v>95.481538471697405</v>
      </c>
      <c r="L15" s="438">
        <f>'[1]EU CR1 DK'!L14</f>
        <v>500.81200240228503</v>
      </c>
      <c r="M15" s="438">
        <f>'[1]EU CR1 DK'!M14</f>
        <v>4.7940878548601198</v>
      </c>
      <c r="N15" s="438">
        <f>'[1]EU CR1 DK'!N14</f>
        <v>491.25623800059583</v>
      </c>
      <c r="O15" s="438">
        <f>'[1]EU CR1 DK'!O14</f>
        <v>0</v>
      </c>
      <c r="P15" s="438">
        <f>'[1]EU CR1 DK'!P14</f>
        <v>12358.34228885873</v>
      </c>
      <c r="Q15" s="438">
        <f>'[1]EU CR1 DK'!Q14</f>
        <v>1644.8038666300101</v>
      </c>
    </row>
    <row r="16" spans="1:17" ht="22.5" customHeight="1" thickBot="1" x14ac:dyDescent="0.4">
      <c r="A16" s="439" t="s">
        <v>54</v>
      </c>
      <c r="B16" s="441" t="s">
        <v>393</v>
      </c>
      <c r="C16" s="442"/>
      <c r="D16" s="442"/>
      <c r="E16" s="442"/>
      <c r="F16" s="442"/>
      <c r="G16" s="442"/>
      <c r="H16" s="442"/>
      <c r="I16" s="442"/>
      <c r="J16" s="442"/>
      <c r="K16" s="442"/>
      <c r="L16" s="442"/>
      <c r="M16" s="442"/>
      <c r="N16" s="442"/>
      <c r="O16" s="442"/>
      <c r="P16" s="442"/>
      <c r="Q16" s="442"/>
    </row>
    <row r="17" spans="1:17" ht="22.5" customHeight="1" thickBot="1" x14ac:dyDescent="0.4">
      <c r="A17" s="439" t="s">
        <v>55</v>
      </c>
      <c r="B17" s="440" t="s">
        <v>394</v>
      </c>
      <c r="C17" s="438">
        <f>'[1]EU CR1 DK'!C16</f>
        <v>25702.810871618745</v>
      </c>
      <c r="D17" s="438">
        <f>'[1]EU CR1 DK'!D16</f>
        <v>23596.723038294418</v>
      </c>
      <c r="E17" s="438">
        <f>'[1]EU CR1 DK'!E16</f>
        <v>2106.0878333243436</v>
      </c>
      <c r="F17" s="438">
        <f>'[1]EU CR1 DK'!F16</f>
        <v>1036.4226324900019</v>
      </c>
      <c r="G17" s="438">
        <f>'[1]EU CR1 DK'!G16</f>
        <v>51.085615656999998</v>
      </c>
      <c r="H17" s="438">
        <f>'[1]EU CR1 DK'!H16</f>
        <v>941.61948597300193</v>
      </c>
      <c r="I17" s="438">
        <f>'[1]EU CR1 DK'!I16</f>
        <v>142.1302900207391</v>
      </c>
      <c r="J17" s="438">
        <f>'[1]EU CR1 DK'!J16</f>
        <v>60.42832498272395</v>
      </c>
      <c r="K17" s="438">
        <f>'[1]EU CR1 DK'!K16</f>
        <v>81.701965038014691</v>
      </c>
      <c r="L17" s="438">
        <f>'[1]EU CR1 DK'!L16</f>
        <v>279.59069693142169</v>
      </c>
      <c r="M17" s="438">
        <f>'[1]EU CR1 DK'!M16</f>
        <v>2.7762447677043771</v>
      </c>
      <c r="N17" s="438">
        <f>'[1]EU CR1 DK'!N16</f>
        <v>276.41521410331865</v>
      </c>
      <c r="O17" s="438">
        <f>'[1]EU CR1 DK'!O16</f>
        <v>0</v>
      </c>
      <c r="P17" s="438">
        <f>'[1]EU CR1 DK'!P16</f>
        <v>23278.786985717579</v>
      </c>
      <c r="Q17" s="438">
        <f>'[1]EU CR1 DK'!Q16</f>
        <v>763.64053838660197</v>
      </c>
    </row>
    <row r="18" spans="1:17" ht="22.5" customHeight="1" thickBot="1" x14ac:dyDescent="0.4">
      <c r="A18" s="443" t="s">
        <v>56</v>
      </c>
      <c r="B18" s="431" t="s">
        <v>395</v>
      </c>
      <c r="C18" s="438">
        <f>'[1]EU CR1 DK'!C17</f>
        <v>0</v>
      </c>
      <c r="D18" s="438">
        <f>'[1]EU CR1 DK'!D17</f>
        <v>0</v>
      </c>
      <c r="E18" s="438">
        <f>'[1]EU CR1 DK'!E17</f>
        <v>0</v>
      </c>
      <c r="F18" s="438">
        <f>'[1]EU CR1 DK'!F17</f>
        <v>0</v>
      </c>
      <c r="G18" s="438">
        <f>'[1]EU CR1 DK'!G17</f>
        <v>0</v>
      </c>
      <c r="H18" s="438">
        <f>'[1]EU CR1 DK'!H17</f>
        <v>0</v>
      </c>
      <c r="I18" s="438">
        <f>'[1]EU CR1 DK'!I17</f>
        <v>0</v>
      </c>
      <c r="J18" s="438">
        <f>'[1]EU CR1 DK'!J17</f>
        <v>0</v>
      </c>
      <c r="K18" s="438">
        <f>'[1]EU CR1 DK'!K17</f>
        <v>0</v>
      </c>
      <c r="L18" s="438">
        <f>'[1]EU CR1 DK'!L17</f>
        <v>0</v>
      </c>
      <c r="M18" s="438">
        <f>'[1]EU CR1 DK'!M17</f>
        <v>0</v>
      </c>
      <c r="N18" s="438">
        <f>'[1]EU CR1 DK'!N17</f>
        <v>0</v>
      </c>
      <c r="O18" s="438">
        <f>'[1]EU CR1 DK'!O17</f>
        <v>0</v>
      </c>
      <c r="P18" s="438">
        <f>'[1]EU CR1 DK'!P17</f>
        <v>0</v>
      </c>
      <c r="Q18" s="438">
        <f>'[1]EU CR1 DK'!Q17</f>
        <v>0</v>
      </c>
    </row>
    <row r="19" spans="1:17" ht="22.5" customHeight="1" thickBot="1" x14ac:dyDescent="0.4">
      <c r="A19" s="439" t="s">
        <v>57</v>
      </c>
      <c r="B19" s="440" t="s">
        <v>388</v>
      </c>
      <c r="C19" s="438">
        <f>'[1]EU CR1 DK'!C18</f>
        <v>0</v>
      </c>
      <c r="D19" s="438">
        <f>'[1]EU CR1 DK'!D18</f>
        <v>0</v>
      </c>
      <c r="E19" s="438">
        <f>'[1]EU CR1 DK'!E18</f>
        <v>0</v>
      </c>
      <c r="F19" s="438">
        <f>'[1]EU CR1 DK'!F18</f>
        <v>0</v>
      </c>
      <c r="G19" s="438">
        <f>'[1]EU CR1 DK'!G18</f>
        <v>0</v>
      </c>
      <c r="H19" s="438">
        <f>'[1]EU CR1 DK'!H18</f>
        <v>0</v>
      </c>
      <c r="I19" s="438">
        <f>'[1]EU CR1 DK'!I18</f>
        <v>0</v>
      </c>
      <c r="J19" s="438">
        <f>'[1]EU CR1 DK'!J18</f>
        <v>0</v>
      </c>
      <c r="K19" s="438">
        <f>'[1]EU CR1 DK'!K18</f>
        <v>0</v>
      </c>
      <c r="L19" s="438">
        <f>'[1]EU CR1 DK'!L18</f>
        <v>0</v>
      </c>
      <c r="M19" s="438">
        <f>'[1]EU CR1 DK'!M18</f>
        <v>0</v>
      </c>
      <c r="N19" s="438">
        <f>'[1]EU CR1 DK'!N18</f>
        <v>0</v>
      </c>
      <c r="O19" s="438">
        <f>'[1]EU CR1 DK'!O18</f>
        <v>0</v>
      </c>
      <c r="P19" s="438">
        <f>'[1]EU CR1 DK'!P18</f>
        <v>0</v>
      </c>
      <c r="Q19" s="438">
        <f>'[1]EU CR1 DK'!Q18</f>
        <v>0</v>
      </c>
    </row>
    <row r="20" spans="1:17" ht="22.5" customHeight="1" thickBot="1" x14ac:dyDescent="0.4">
      <c r="A20" s="439" t="s">
        <v>58</v>
      </c>
      <c r="B20" s="440" t="s">
        <v>389</v>
      </c>
      <c r="C20" s="438">
        <f>'[1]EU CR1 DK'!C19</f>
        <v>0</v>
      </c>
      <c r="D20" s="438">
        <f>'[1]EU CR1 DK'!D19</f>
        <v>0</v>
      </c>
      <c r="E20" s="438">
        <f>'[1]EU CR1 DK'!E19</f>
        <v>0</v>
      </c>
      <c r="F20" s="438">
        <f>'[1]EU CR1 DK'!F19</f>
        <v>0</v>
      </c>
      <c r="G20" s="438">
        <f>'[1]EU CR1 DK'!G19</f>
        <v>0</v>
      </c>
      <c r="H20" s="438">
        <f>'[1]EU CR1 DK'!H19</f>
        <v>0</v>
      </c>
      <c r="I20" s="438">
        <f>'[1]EU CR1 DK'!I19</f>
        <v>0</v>
      </c>
      <c r="J20" s="438">
        <f>'[1]EU CR1 DK'!J19</f>
        <v>0</v>
      </c>
      <c r="K20" s="438">
        <f>'[1]EU CR1 DK'!K19</f>
        <v>0</v>
      </c>
      <c r="L20" s="438">
        <f>'[1]EU CR1 DK'!L19</f>
        <v>0</v>
      </c>
      <c r="M20" s="438">
        <f>'[1]EU CR1 DK'!M19</f>
        <v>0</v>
      </c>
      <c r="N20" s="438">
        <f>'[1]EU CR1 DK'!N19</f>
        <v>0</v>
      </c>
      <c r="O20" s="438">
        <f>'[1]EU CR1 DK'!O19</f>
        <v>0</v>
      </c>
      <c r="P20" s="438">
        <f>'[1]EU CR1 DK'!P19</f>
        <v>0</v>
      </c>
      <c r="Q20" s="438">
        <f>'[1]EU CR1 DK'!Q19</f>
        <v>0</v>
      </c>
    </row>
    <row r="21" spans="1:17" ht="22.5" customHeight="1" thickBot="1" x14ac:dyDescent="0.4">
      <c r="A21" s="439" t="s">
        <v>59</v>
      </c>
      <c r="B21" s="440" t="s">
        <v>390</v>
      </c>
      <c r="C21" s="438">
        <f>'[1]EU CR1 DK'!C20</f>
        <v>0</v>
      </c>
      <c r="D21" s="438">
        <f>'[1]EU CR1 DK'!D20</f>
        <v>0</v>
      </c>
      <c r="E21" s="438">
        <f>'[1]EU CR1 DK'!E20</f>
        <v>0</v>
      </c>
      <c r="F21" s="438">
        <f>'[1]EU CR1 DK'!F20</f>
        <v>0</v>
      </c>
      <c r="G21" s="438">
        <f>'[1]EU CR1 DK'!G20</f>
        <v>0</v>
      </c>
      <c r="H21" s="438">
        <f>'[1]EU CR1 DK'!H20</f>
        <v>0</v>
      </c>
      <c r="I21" s="438">
        <f>'[1]EU CR1 DK'!I20</f>
        <v>0</v>
      </c>
      <c r="J21" s="438">
        <f>'[1]EU CR1 DK'!J20</f>
        <v>0</v>
      </c>
      <c r="K21" s="438">
        <f>'[1]EU CR1 DK'!K20</f>
        <v>0</v>
      </c>
      <c r="L21" s="438">
        <f>'[1]EU CR1 DK'!L20</f>
        <v>0</v>
      </c>
      <c r="M21" s="438">
        <f>'[1]EU CR1 DK'!M20</f>
        <v>0</v>
      </c>
      <c r="N21" s="438">
        <f>'[1]EU CR1 DK'!N20</f>
        <v>0</v>
      </c>
      <c r="O21" s="438">
        <f>'[1]EU CR1 DK'!O20</f>
        <v>0</v>
      </c>
      <c r="P21" s="438">
        <f>'[1]EU CR1 DK'!P20</f>
        <v>0</v>
      </c>
      <c r="Q21" s="438">
        <f>'[1]EU CR1 DK'!Q20</f>
        <v>0</v>
      </c>
    </row>
    <row r="22" spans="1:17" ht="22.5" customHeight="1" thickBot="1" x14ac:dyDescent="0.4">
      <c r="A22" s="439" t="s">
        <v>60</v>
      </c>
      <c r="B22" s="440" t="s">
        <v>391</v>
      </c>
      <c r="C22" s="438">
        <f>'[1]EU CR1 DK'!C21</f>
        <v>0</v>
      </c>
      <c r="D22" s="438">
        <f>'[1]EU CR1 DK'!D21</f>
        <v>0</v>
      </c>
      <c r="E22" s="438">
        <f>'[1]EU CR1 DK'!E21</f>
        <v>0</v>
      </c>
      <c r="F22" s="438">
        <f>'[1]EU CR1 DK'!F21</f>
        <v>0</v>
      </c>
      <c r="G22" s="438">
        <f>'[1]EU CR1 DK'!G21</f>
        <v>0</v>
      </c>
      <c r="H22" s="438">
        <f>'[1]EU CR1 DK'!H21</f>
        <v>0</v>
      </c>
      <c r="I22" s="438">
        <f>'[1]EU CR1 DK'!I21</f>
        <v>0</v>
      </c>
      <c r="J22" s="438">
        <f>'[1]EU CR1 DK'!J21</f>
        <v>0</v>
      </c>
      <c r="K22" s="438">
        <f>'[1]EU CR1 DK'!K21</f>
        <v>0</v>
      </c>
      <c r="L22" s="438">
        <f>'[1]EU CR1 DK'!L21</f>
        <v>0</v>
      </c>
      <c r="M22" s="438">
        <f>'[1]EU CR1 DK'!M21</f>
        <v>0</v>
      </c>
      <c r="N22" s="438">
        <f>'[1]EU CR1 DK'!N21</f>
        <v>0</v>
      </c>
      <c r="O22" s="438">
        <f>'[1]EU CR1 DK'!O21</f>
        <v>0</v>
      </c>
      <c r="P22" s="438">
        <f>'[1]EU CR1 DK'!P21</f>
        <v>0</v>
      </c>
      <c r="Q22" s="438">
        <f>'[1]EU CR1 DK'!Q21</f>
        <v>0</v>
      </c>
    </row>
    <row r="23" spans="1:17" ht="22.5" customHeight="1" thickBot="1" x14ac:dyDescent="0.4">
      <c r="A23" s="439" t="s">
        <v>61</v>
      </c>
      <c r="B23" s="440" t="s">
        <v>392</v>
      </c>
      <c r="C23" s="438">
        <f>'[1]EU CR1 DK'!C22</f>
        <v>0</v>
      </c>
      <c r="D23" s="438">
        <f>'[1]EU CR1 DK'!D22</f>
        <v>0</v>
      </c>
      <c r="E23" s="438">
        <f>'[1]EU CR1 DK'!E22</f>
        <v>0</v>
      </c>
      <c r="F23" s="438">
        <f>'[1]EU CR1 DK'!F22</f>
        <v>0</v>
      </c>
      <c r="G23" s="438">
        <f>'[1]EU CR1 DK'!G22</f>
        <v>0</v>
      </c>
      <c r="H23" s="438">
        <f>'[1]EU CR1 DK'!H22</f>
        <v>0</v>
      </c>
      <c r="I23" s="438">
        <f>'[1]EU CR1 DK'!I22</f>
        <v>0</v>
      </c>
      <c r="J23" s="438">
        <f>'[1]EU CR1 DK'!J22</f>
        <v>0</v>
      </c>
      <c r="K23" s="438">
        <f>'[1]EU CR1 DK'!K22</f>
        <v>0</v>
      </c>
      <c r="L23" s="438">
        <f>'[1]EU CR1 DK'!L22</f>
        <v>0</v>
      </c>
      <c r="M23" s="438">
        <f>'[1]EU CR1 DK'!M22</f>
        <v>0</v>
      </c>
      <c r="N23" s="438">
        <f>'[1]EU CR1 DK'!N22</f>
        <v>0</v>
      </c>
      <c r="O23" s="438">
        <f>'[1]EU CR1 DK'!O22</f>
        <v>0</v>
      </c>
      <c r="P23" s="438">
        <f>'[1]EU CR1 DK'!P22</f>
        <v>0</v>
      </c>
      <c r="Q23" s="438">
        <f>'[1]EU CR1 DK'!Q22</f>
        <v>0</v>
      </c>
    </row>
    <row r="24" spans="1:17" ht="22.5" customHeight="1" thickBot="1" x14ac:dyDescent="0.4">
      <c r="A24" s="443" t="s">
        <v>62</v>
      </c>
      <c r="B24" s="431" t="s">
        <v>396</v>
      </c>
      <c r="C24" s="438">
        <f>'[1]EU CR1 DK'!C23</f>
        <v>40598.970129101333</v>
      </c>
      <c r="D24" s="438">
        <f>'[1]EU CR1 DK'!D23</f>
        <v>36836.346875231953</v>
      </c>
      <c r="E24" s="438">
        <f>'[1]EU CR1 DK'!E23</f>
        <v>3760.2037970593128</v>
      </c>
      <c r="F24" s="438">
        <f>'[1]EU CR1 DK'!F23</f>
        <v>934.39746429950105</v>
      </c>
      <c r="G24" s="438">
        <f>'[1]EU CR1 DK'!G23</f>
        <v>55.305308659978003</v>
      </c>
      <c r="H24" s="438">
        <f>'[1]EU CR1 DK'!H23</f>
        <v>813.34302494954409</v>
      </c>
      <c r="I24" s="438">
        <f>'[1]EU CR1 DK'!I23</f>
        <v>42.49642215565742</v>
      </c>
      <c r="J24" s="438">
        <f>'[1]EU CR1 DK'!J23</f>
        <v>28.832843235110833</v>
      </c>
      <c r="K24" s="438">
        <f>'[1]EU CR1 DK'!K23</f>
        <v>13.663578920544575</v>
      </c>
      <c r="L24" s="438">
        <f>'[1]EU CR1 DK'!L23</f>
        <v>179.16027712956028</v>
      </c>
      <c r="M24" s="438">
        <f>'[1]EU CR1 DK'!M23</f>
        <v>0.25455971786552128</v>
      </c>
      <c r="N24" s="438">
        <f>'[1]EU CR1 DK'!N23</f>
        <v>178.79605855985898</v>
      </c>
      <c r="O24" s="444"/>
      <c r="P24" s="438">
        <f>'[1]EU CR1 DK'!P23</f>
        <v>10103.565838603841</v>
      </c>
      <c r="Q24" s="438">
        <f>'[1]EU CR1 DK'!Q23</f>
        <v>312.34251338738625</v>
      </c>
    </row>
    <row r="25" spans="1:17" ht="22.5" customHeight="1" thickBot="1" x14ac:dyDescent="0.4">
      <c r="A25" s="439" t="s">
        <v>63</v>
      </c>
      <c r="B25" s="440" t="s">
        <v>388</v>
      </c>
      <c r="C25" s="438">
        <f>'[1]EU CR1 DK'!C24</f>
        <v>0</v>
      </c>
      <c r="D25" s="438">
        <f>'[1]EU CR1 DK'!D24</f>
        <v>0</v>
      </c>
      <c r="E25" s="438">
        <f>'[1]EU CR1 DK'!E24</f>
        <v>0</v>
      </c>
      <c r="F25" s="438">
        <f>'[1]EU CR1 DK'!F24</f>
        <v>0</v>
      </c>
      <c r="G25" s="438">
        <f>'[1]EU CR1 DK'!G24</f>
        <v>0</v>
      </c>
      <c r="H25" s="438">
        <f>'[1]EU CR1 DK'!H24</f>
        <v>0</v>
      </c>
      <c r="I25" s="438">
        <f>'[1]EU CR1 DK'!I24</f>
        <v>0</v>
      </c>
      <c r="J25" s="438">
        <f>'[1]EU CR1 DK'!J24</f>
        <v>0</v>
      </c>
      <c r="K25" s="438">
        <f>'[1]EU CR1 DK'!K24</f>
        <v>0</v>
      </c>
      <c r="L25" s="438">
        <f>'[1]EU CR1 DK'!L24</f>
        <v>0</v>
      </c>
      <c r="M25" s="438">
        <f>'[1]EU CR1 DK'!M24</f>
        <v>0</v>
      </c>
      <c r="N25" s="438">
        <f>'[1]EU CR1 DK'!N24</f>
        <v>0</v>
      </c>
      <c r="O25" s="444"/>
      <c r="P25" s="438">
        <f>'[1]EU CR1 DK'!P24</f>
        <v>0</v>
      </c>
      <c r="Q25" s="438">
        <f>'[1]EU CR1 DK'!Q24</f>
        <v>0</v>
      </c>
    </row>
    <row r="26" spans="1:17" ht="22.5" customHeight="1" thickBot="1" x14ac:dyDescent="0.4">
      <c r="A26" s="439" t="s">
        <v>64</v>
      </c>
      <c r="B26" s="440" t="s">
        <v>389</v>
      </c>
      <c r="C26" s="438">
        <f>'[1]EU CR1 DK'!C25</f>
        <v>104.62662109</v>
      </c>
      <c r="D26" s="438">
        <f>'[1]EU CR1 DK'!D25</f>
        <v>104.17276516</v>
      </c>
      <c r="E26" s="438">
        <f>'[1]EU CR1 DK'!E25</f>
        <v>0.45385593000000002</v>
      </c>
      <c r="F26" s="438">
        <f>'[1]EU CR1 DK'!F25</f>
        <v>1.94499E-3</v>
      </c>
      <c r="G26" s="438">
        <f>'[1]EU CR1 DK'!G25</f>
        <v>0</v>
      </c>
      <c r="H26" s="438">
        <f>'[1]EU CR1 DK'!H25</f>
        <v>1.94499E-3</v>
      </c>
      <c r="I26" s="438">
        <f>'[1]EU CR1 DK'!I25</f>
        <v>0.30151652000000001</v>
      </c>
      <c r="J26" s="438">
        <f>'[1]EU CR1 DK'!J25</f>
        <v>0.30151652000000001</v>
      </c>
      <c r="K26" s="438">
        <f>'[1]EU CR1 DK'!K25</f>
        <v>0</v>
      </c>
      <c r="L26" s="438">
        <f>'[1]EU CR1 DK'!L25</f>
        <v>0</v>
      </c>
      <c r="M26" s="438">
        <f>'[1]EU CR1 DK'!M25</f>
        <v>0</v>
      </c>
      <c r="N26" s="438">
        <f>'[1]EU CR1 DK'!N25</f>
        <v>0</v>
      </c>
      <c r="O26" s="444"/>
      <c r="P26" s="438">
        <f>'[1]EU CR1 DK'!P25</f>
        <v>0.95330294999999998</v>
      </c>
      <c r="Q26" s="438">
        <f>'[1]EU CR1 DK'!Q25</f>
        <v>0</v>
      </c>
    </row>
    <row r="27" spans="1:17" ht="22.5" customHeight="1" thickBot="1" x14ac:dyDescent="0.4">
      <c r="A27" s="439" t="s">
        <v>65</v>
      </c>
      <c r="B27" s="440" t="s">
        <v>390</v>
      </c>
      <c r="C27" s="438">
        <f>'[1]EU CR1 DK'!C26</f>
        <v>339.01157802999995</v>
      </c>
      <c r="D27" s="438">
        <f>'[1]EU CR1 DK'!D26</f>
        <v>339.01157802999995</v>
      </c>
      <c r="E27" s="438">
        <f>'[1]EU CR1 DK'!E26</f>
        <v>0</v>
      </c>
      <c r="F27" s="438">
        <f>'[1]EU CR1 DK'!F26</f>
        <v>0</v>
      </c>
      <c r="G27" s="438">
        <f>'[1]EU CR1 DK'!G26</f>
        <v>0</v>
      </c>
      <c r="H27" s="438">
        <f>'[1]EU CR1 DK'!H26</f>
        <v>0</v>
      </c>
      <c r="I27" s="438">
        <f>'[1]EU CR1 DK'!I26</f>
        <v>0.10499605864600001</v>
      </c>
      <c r="J27" s="438">
        <f>'[1]EU CR1 DK'!J26</f>
        <v>0.10499605864600001</v>
      </c>
      <c r="K27" s="438">
        <f>'[1]EU CR1 DK'!K26</f>
        <v>0</v>
      </c>
      <c r="L27" s="438">
        <f>'[1]EU CR1 DK'!L26</f>
        <v>0</v>
      </c>
      <c r="M27" s="438">
        <f>'[1]EU CR1 DK'!M26</f>
        <v>0</v>
      </c>
      <c r="N27" s="438">
        <f>'[1]EU CR1 DK'!N26</f>
        <v>0</v>
      </c>
      <c r="O27" s="444"/>
      <c r="P27" s="438">
        <f>'[1]EU CR1 DK'!P26</f>
        <v>3.82225854</v>
      </c>
      <c r="Q27" s="438">
        <f>'[1]EU CR1 DK'!Q26</f>
        <v>0</v>
      </c>
    </row>
    <row r="28" spans="1:17" ht="22.5" customHeight="1" thickBot="1" x14ac:dyDescent="0.4">
      <c r="A28" s="439" t="s">
        <v>66</v>
      </c>
      <c r="B28" s="440" t="s">
        <v>391</v>
      </c>
      <c r="C28" s="438">
        <f>'[1]EU CR1 DK'!C27</f>
        <v>1693.5817417899871</v>
      </c>
      <c r="D28" s="438">
        <f>'[1]EU CR1 DK'!D27</f>
        <v>1608.8382156799919</v>
      </c>
      <c r="E28" s="438">
        <f>'[1]EU CR1 DK'!E27</f>
        <v>84.743526109995997</v>
      </c>
      <c r="F28" s="438">
        <f>'[1]EU CR1 DK'!F27</f>
        <v>8.0120550599999998</v>
      </c>
      <c r="G28" s="438">
        <f>'[1]EU CR1 DK'!G27</f>
        <v>0</v>
      </c>
      <c r="H28" s="438">
        <f>'[1]EU CR1 DK'!H27</f>
        <v>7.0744671700000001</v>
      </c>
      <c r="I28" s="438">
        <f>'[1]EU CR1 DK'!I27</f>
        <v>3.5435407158542001</v>
      </c>
      <c r="J28" s="438">
        <f>'[1]EU CR1 DK'!J27</f>
        <v>3.4751329875342702</v>
      </c>
      <c r="K28" s="438">
        <f>'[1]EU CR1 DK'!K27</f>
        <v>6.8407728319934399E-2</v>
      </c>
      <c r="L28" s="438">
        <f>'[1]EU CR1 DK'!L27</f>
        <v>4.6620860269853992</v>
      </c>
      <c r="M28" s="438">
        <f>'[1]EU CR1 DK'!M27</f>
        <v>0</v>
      </c>
      <c r="N28" s="438">
        <f>'[1]EU CR1 DK'!N27</f>
        <v>4.6601178100000009</v>
      </c>
      <c r="O28" s="444"/>
      <c r="P28" s="438">
        <f>'[1]EU CR1 DK'!P27</f>
        <v>192.14010194741999</v>
      </c>
      <c r="Q28" s="438">
        <f>'[1]EU CR1 DK'!Q27</f>
        <v>0.26379619134043697</v>
      </c>
    </row>
    <row r="29" spans="1:17" ht="22.5" customHeight="1" thickBot="1" x14ac:dyDescent="0.4">
      <c r="A29" s="439" t="s">
        <v>67</v>
      </c>
      <c r="B29" s="440" t="s">
        <v>392</v>
      </c>
      <c r="C29" s="438">
        <f>'[1]EU CR1 DK'!C28</f>
        <v>14427.715899449851</v>
      </c>
      <c r="D29" s="438">
        <f>'[1]EU CR1 DK'!D28</f>
        <v>12710.571302669929</v>
      </c>
      <c r="E29" s="438">
        <f>'[1]EU CR1 DK'!E28</f>
        <v>1714.725139969958</v>
      </c>
      <c r="F29" s="438">
        <f>'[1]EU CR1 DK'!F28</f>
        <v>641.470881499965</v>
      </c>
      <c r="G29" s="438">
        <f>'[1]EU CR1 DK'!G28</f>
        <v>25.189281069999002</v>
      </c>
      <c r="H29" s="438">
        <f>'[1]EU CR1 DK'!H28</f>
        <v>595.695909099966</v>
      </c>
      <c r="I29" s="438">
        <f>'[1]EU CR1 DK'!I28</f>
        <v>24.009835285218799</v>
      </c>
      <c r="J29" s="438">
        <f>'[1]EU CR1 DK'!J28</f>
        <v>17.179876043956732</v>
      </c>
      <c r="K29" s="438">
        <f>'[1]EU CR1 DK'!K28</f>
        <v>6.8299592412619701</v>
      </c>
      <c r="L29" s="438">
        <f>'[1]EU CR1 DK'!L28</f>
        <v>142.94859557988519</v>
      </c>
      <c r="M29" s="438">
        <f>'[1]EU CR1 DK'!M28</f>
        <v>0.13443966125667839</v>
      </c>
      <c r="N29" s="438">
        <f>'[1]EU CR1 DK'!N28</f>
        <v>142.7124799570222</v>
      </c>
      <c r="O29" s="444"/>
      <c r="P29" s="438">
        <f>'[1]EU CR1 DK'!P28</f>
        <v>4289.71107830048</v>
      </c>
      <c r="Q29" s="438">
        <f>'[1]EU CR1 DK'!Q28</f>
        <v>224.50340738582651</v>
      </c>
    </row>
    <row r="30" spans="1:17" ht="22.5" customHeight="1" thickBot="1" x14ac:dyDescent="0.4">
      <c r="A30" s="439" t="s">
        <v>68</v>
      </c>
      <c r="B30" s="440" t="s">
        <v>394</v>
      </c>
      <c r="C30" s="438">
        <f>'[1]EU CR1 DK'!C29</f>
        <v>24034.034288741499</v>
      </c>
      <c r="D30" s="438">
        <f>'[1]EU CR1 DK'!D29</f>
        <v>22073.753013692032</v>
      </c>
      <c r="E30" s="438">
        <f>'[1]EU CR1 DK'!E29</f>
        <v>1960.2812750493588</v>
      </c>
      <c r="F30" s="438">
        <f>'[1]EU CR1 DK'!F29</f>
        <v>284.91258274953606</v>
      </c>
      <c r="G30" s="438">
        <f>'[1]EU CR1 DK'!G29</f>
        <v>30.116027589979002</v>
      </c>
      <c r="H30" s="438">
        <f>'[1]EU CR1 DK'!H29</f>
        <v>210.57070368957801</v>
      </c>
      <c r="I30" s="438">
        <f>'[1]EU CR1 DK'!I29</f>
        <v>14.536533575938421</v>
      </c>
      <c r="J30" s="438">
        <f>'[1]EU CR1 DK'!J29</f>
        <v>7.7713216249738295</v>
      </c>
      <c r="K30" s="438">
        <f>'[1]EU CR1 DK'!K29</f>
        <v>6.7652119509626703</v>
      </c>
      <c r="L30" s="438">
        <f>'[1]EU CR1 DK'!L29</f>
        <v>31.549595522689689</v>
      </c>
      <c r="M30" s="438">
        <f>'[1]EU CR1 DK'!M29</f>
        <v>0.12012005660884291</v>
      </c>
      <c r="N30" s="438">
        <f>'[1]EU CR1 DK'!N29</f>
        <v>31.423460792836789</v>
      </c>
      <c r="O30" s="444"/>
      <c r="P30" s="438">
        <f>'[1]EU CR1 DK'!P29</f>
        <v>5616.93909686594</v>
      </c>
      <c r="Q30" s="438">
        <f>'[1]EU CR1 DK'!Q29</f>
        <v>87.575309810219309</v>
      </c>
    </row>
    <row r="31" spans="1:17" ht="22.5" customHeight="1" thickBot="1" x14ac:dyDescent="0.4">
      <c r="A31" s="445" t="s">
        <v>69</v>
      </c>
      <c r="B31" s="446" t="s">
        <v>46</v>
      </c>
      <c r="C31" s="447">
        <f>'[1]EU CR1 DK'!C30</f>
        <v>93115.893377445624</v>
      </c>
      <c r="D31" s="447">
        <f>'[1]EU CR1 DK'!D30</f>
        <v>83072.340869855383</v>
      </c>
      <c r="E31" s="447">
        <f>'[1]EU CR1 DK'!E30</f>
        <v>9918.9091231780185</v>
      </c>
      <c r="F31" s="447">
        <f>'[1]EU CR1 DK'!F30</f>
        <v>4067.2037633065029</v>
      </c>
      <c r="G31" s="447">
        <f>'[1]EU CR1 DK'!G30</f>
        <v>183.40168303997802</v>
      </c>
      <c r="H31" s="447">
        <f>'[1]EU CR1 DK'!H30</f>
        <v>3696.352043306546</v>
      </c>
      <c r="I31" s="447">
        <f>'[1]EU CR1 DK'!I30</f>
        <v>377.46842959988976</v>
      </c>
      <c r="J31" s="447">
        <f>'[1]EU CR1 DK'!J30</f>
        <v>178.09242449014681</v>
      </c>
      <c r="K31" s="447">
        <f>'[1]EU CR1 DK'!K30</f>
        <v>199.37600510974073</v>
      </c>
      <c r="L31" s="447">
        <f>'[1]EU CR1 DK'!L30</f>
        <v>1041.2016915427391</v>
      </c>
      <c r="M31" s="447">
        <f>'[1]EU CR1 DK'!M30</f>
        <v>7.8255891804300175</v>
      </c>
      <c r="N31" s="447">
        <f>'[1]EU CR1 DK'!N30</f>
        <v>1028.0202250696593</v>
      </c>
      <c r="O31" s="447">
        <f>'[1]EU CR1 DK'!O30</f>
        <v>0</v>
      </c>
      <c r="P31" s="447">
        <f>'[1]EU CR1 DK'!P30</f>
        <v>46306.114162180085</v>
      </c>
      <c r="Q31" s="447">
        <f>'[1]EU CR1 DK'!Q30</f>
        <v>2757.2264291619185</v>
      </c>
    </row>
  </sheetData>
  <mergeCells count="10">
    <mergeCell ref="C6:H6"/>
    <mergeCell ref="I6:N6"/>
    <mergeCell ref="O6:O7"/>
    <mergeCell ref="P6:Q6"/>
    <mergeCell ref="C7:E7"/>
    <mergeCell ref="F7:H7"/>
    <mergeCell ref="I7:K7"/>
    <mergeCell ref="L7:N7"/>
    <mergeCell ref="P7:P8"/>
    <mergeCell ref="Q7:Q8"/>
  </mergeCells>
  <pageMargins left="0.7" right="0.7" top="0.75" bottom="0.75" header="0.3" footer="0.3"/>
  <pageSetup paperSize="9" scale="4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C2C2-62B2-4ACF-955E-7D86C1175B2D}">
  <sheetPr>
    <pageSetUpPr fitToPage="1"/>
  </sheetPr>
  <dimension ref="A2:H9"/>
  <sheetViews>
    <sheetView workbookViewId="0">
      <selection activeCell="B14" sqref="B14"/>
    </sheetView>
  </sheetViews>
  <sheetFormatPr defaultRowHeight="14.5" x14ac:dyDescent="0.35"/>
  <cols>
    <col min="1" max="1" width="5.1796875" customWidth="1"/>
    <col min="2" max="2" width="26.453125" customWidth="1"/>
    <col min="3" max="8" width="14" customWidth="1"/>
  </cols>
  <sheetData>
    <row r="2" spans="1:8" s="42" customFormat="1" ht="18.5" x14ac:dyDescent="0.45">
      <c r="A2" s="43" t="s">
        <v>398</v>
      </c>
    </row>
    <row r="3" spans="1:8" x14ac:dyDescent="0.35">
      <c r="A3" s="72"/>
    </row>
    <row r="4" spans="1:8" x14ac:dyDescent="0.35">
      <c r="A4" s="73"/>
      <c r="B4" s="74"/>
      <c r="C4" s="66" t="s">
        <v>22</v>
      </c>
      <c r="D4" s="66" t="s">
        <v>23</v>
      </c>
      <c r="E4" s="66" t="s">
        <v>24</v>
      </c>
      <c r="F4" s="66" t="s">
        <v>34</v>
      </c>
      <c r="G4" s="66" t="s">
        <v>35</v>
      </c>
      <c r="H4" s="66" t="s">
        <v>36</v>
      </c>
    </row>
    <row r="5" spans="1:8" x14ac:dyDescent="0.35">
      <c r="A5" s="75"/>
      <c r="B5" s="77"/>
      <c r="C5" s="76" t="s">
        <v>399</v>
      </c>
      <c r="D5" s="76"/>
      <c r="E5" s="76"/>
      <c r="F5" s="76"/>
      <c r="G5" s="76"/>
      <c r="H5" s="76"/>
    </row>
    <row r="6" spans="1:8" ht="29" x14ac:dyDescent="0.35">
      <c r="A6" s="75"/>
      <c r="B6" s="77"/>
      <c r="C6" s="78" t="s">
        <v>400</v>
      </c>
      <c r="D6" s="78" t="s">
        <v>401</v>
      </c>
      <c r="E6" s="78" t="s">
        <v>402</v>
      </c>
      <c r="F6" s="78" t="s">
        <v>403</v>
      </c>
      <c r="G6" s="78" t="s">
        <v>404</v>
      </c>
      <c r="H6" s="78" t="s">
        <v>46</v>
      </c>
    </row>
    <row r="7" spans="1:8" ht="15.5" x14ac:dyDescent="0.35">
      <c r="A7" s="79">
        <v>1</v>
      </c>
      <c r="B7" s="80" t="s">
        <v>387</v>
      </c>
      <c r="C7" s="81">
        <v>5112.6000000000004</v>
      </c>
      <c r="D7" s="82">
        <v>8836.7999999999993</v>
      </c>
      <c r="E7" s="82">
        <v>11871.6</v>
      </c>
      <c r="F7" s="82">
        <v>18491.8</v>
      </c>
      <c r="G7" s="82">
        <v>0</v>
      </c>
      <c r="H7" s="83">
        <v>44312.800000000003</v>
      </c>
    </row>
    <row r="8" spans="1:8" ht="15.5" x14ac:dyDescent="0.35">
      <c r="A8" s="79">
        <v>2</v>
      </c>
      <c r="B8" s="80" t="s">
        <v>395</v>
      </c>
      <c r="C8" s="84">
        <v>0</v>
      </c>
      <c r="D8" s="85">
        <v>0</v>
      </c>
      <c r="E8" s="85">
        <v>0</v>
      </c>
      <c r="F8" s="85" t="s">
        <v>70</v>
      </c>
      <c r="G8" s="85">
        <v>0</v>
      </c>
      <c r="H8" s="86">
        <v>0</v>
      </c>
    </row>
    <row r="9" spans="1:8" ht="15.5" x14ac:dyDescent="0.35">
      <c r="A9" s="87">
        <v>3</v>
      </c>
      <c r="B9" s="88" t="s">
        <v>46</v>
      </c>
      <c r="C9" s="89">
        <v>5112.6000000000004</v>
      </c>
      <c r="D9" s="90">
        <v>8836.7999999999993</v>
      </c>
      <c r="E9" s="90">
        <v>11871.6</v>
      </c>
      <c r="F9" s="90">
        <v>18491.8</v>
      </c>
      <c r="G9" s="90">
        <v>0</v>
      </c>
      <c r="H9" s="91">
        <v>44312.800000000003</v>
      </c>
    </row>
  </sheetData>
  <mergeCells count="1">
    <mergeCell ref="C5:H5"/>
  </mergeCells>
  <pageMargins left="0.7" right="0.7" top="0.75" bottom="0.75" header="0.3" footer="0.3"/>
  <pageSetup paperSize="9" scale="7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ED12-21BA-403F-A397-9CCD7903301A}">
  <sheetPr>
    <pageSetUpPr fitToPage="1"/>
  </sheetPr>
  <dimension ref="A2:C11"/>
  <sheetViews>
    <sheetView workbookViewId="0">
      <selection activeCell="A3" sqref="A3"/>
    </sheetView>
  </sheetViews>
  <sheetFormatPr defaultRowHeight="14.5" x14ac:dyDescent="0.35"/>
  <cols>
    <col min="2" max="2" width="30" customWidth="1"/>
    <col min="3" max="3" width="23.7265625" customWidth="1"/>
  </cols>
  <sheetData>
    <row r="2" spans="1:3" ht="18.5" x14ac:dyDescent="0.35">
      <c r="A2" s="43" t="s">
        <v>406</v>
      </c>
      <c r="B2" s="92"/>
      <c r="C2" s="92"/>
    </row>
    <row r="3" spans="1:3" ht="16" thickBot="1" x14ac:dyDescent="0.4">
      <c r="A3" s="93"/>
      <c r="B3" s="94"/>
      <c r="C3" s="94"/>
    </row>
    <row r="4" spans="1:3" ht="16" thickBot="1" x14ac:dyDescent="0.4">
      <c r="A4" s="95"/>
      <c r="B4" s="448"/>
      <c r="C4" s="96" t="s">
        <v>22</v>
      </c>
    </row>
    <row r="5" spans="1:3" ht="16" thickBot="1" x14ac:dyDescent="0.4">
      <c r="A5" s="97"/>
      <c r="B5" s="98"/>
      <c r="C5" s="99" t="s">
        <v>407</v>
      </c>
    </row>
    <row r="6" spans="1:3" ht="25.5" thickBot="1" x14ac:dyDescent="0.4">
      <c r="A6" s="100" t="s">
        <v>44</v>
      </c>
      <c r="B6" s="101" t="s">
        <v>408</v>
      </c>
      <c r="C6" s="102">
        <f>'[1]EU CR2 DK'!C7</f>
        <v>2796.8792308839998</v>
      </c>
    </row>
    <row r="7" spans="1:3" ht="15" thickBot="1" x14ac:dyDescent="0.4">
      <c r="A7" s="103" t="s">
        <v>45</v>
      </c>
      <c r="B7" s="104" t="s">
        <v>409</v>
      </c>
      <c r="C7" s="102">
        <f>'[1]EU CR2 DK'!C8</f>
        <v>791.39527962800094</v>
      </c>
    </row>
    <row r="8" spans="1:3" ht="15" thickBot="1" x14ac:dyDescent="0.4">
      <c r="A8" s="103" t="s">
        <v>50</v>
      </c>
      <c r="B8" s="104" t="s">
        <v>410</v>
      </c>
      <c r="C8" s="102">
        <f>'[1]EU CR2 DK'!C9</f>
        <v>-713.04547861499998</v>
      </c>
    </row>
    <row r="9" spans="1:3" ht="15" thickBot="1" x14ac:dyDescent="0.4">
      <c r="A9" s="103" t="s">
        <v>51</v>
      </c>
      <c r="B9" s="105" t="s">
        <v>411</v>
      </c>
      <c r="C9" s="102">
        <f>'[1]EU CR2 DK'!C10</f>
        <v>-21.679760469999998</v>
      </c>
    </row>
    <row r="10" spans="1:3" ht="15" thickBot="1" x14ac:dyDescent="0.4">
      <c r="A10" s="103" t="s">
        <v>52</v>
      </c>
      <c r="B10" s="105" t="s">
        <v>412</v>
      </c>
      <c r="C10" s="102">
        <f>'[1]EU CR2 DK'!C11</f>
        <v>-691.36571814500007</v>
      </c>
    </row>
    <row r="11" spans="1:3" ht="25.5" thickBot="1" x14ac:dyDescent="0.4">
      <c r="A11" s="106" t="s">
        <v>53</v>
      </c>
      <c r="B11" s="107" t="s">
        <v>413</v>
      </c>
      <c r="C11" s="102">
        <f>'[1]EU CR2 DK'!C12</f>
        <v>2875.2290318970008</v>
      </c>
    </row>
  </sheetData>
  <pageMargins left="0.7" right="0.7" top="0.75" bottom="0.75" header="0.3" footer="0.3"/>
  <pageSetup paperSize="9" scale="9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22</vt:i4>
      </vt:variant>
    </vt:vector>
  </HeadingPairs>
  <TitlesOfParts>
    <vt:vector size="22" baseType="lpstr">
      <vt:lpstr>Content</vt:lpstr>
      <vt:lpstr>Solvency Need</vt:lpstr>
      <vt:lpstr>EU CC1 EN</vt:lpstr>
      <vt:lpstr>EU CC2 EN</vt:lpstr>
      <vt:lpstr>EU CCyB1 EN</vt:lpstr>
      <vt:lpstr>EU CCyB2 EN</vt:lpstr>
      <vt:lpstr>EU CR1 EN</vt:lpstr>
      <vt:lpstr>EU CR1-A EN</vt:lpstr>
      <vt:lpstr>EU CR2 EN</vt:lpstr>
      <vt:lpstr>EU CR3 EN</vt:lpstr>
      <vt:lpstr>EU CR4 EN</vt:lpstr>
      <vt:lpstr>EU CR5 EN</vt:lpstr>
      <vt:lpstr>EU CCR1 EN</vt:lpstr>
      <vt:lpstr>EU CCR2 EN</vt:lpstr>
      <vt:lpstr>EU CCR3 EN</vt:lpstr>
      <vt:lpstr>EU CCR5 EN</vt:lpstr>
      <vt:lpstr>EU CCR8 EN</vt:lpstr>
      <vt:lpstr>EU MR1 EN</vt:lpstr>
      <vt:lpstr>EU IRRBB1 EN</vt:lpstr>
      <vt:lpstr>EU LIQ2 EN</vt:lpstr>
      <vt:lpstr>EU LR1 - LRSum EN</vt:lpstr>
      <vt:lpstr>EU LR2 - LRCom 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Mads Mathiassen</dc:creator>
  <cp:lastModifiedBy>Mads Mathiassen</cp:lastModifiedBy>
  <cp:lastPrinted>2022-08-11T09:14:50Z</cp:lastPrinted>
  <dcterms:created xsi:type="dcterms:W3CDTF">2022-08-10T12:32:49Z</dcterms:created>
  <dcterms:modified xsi:type="dcterms:W3CDTF">2022-08-11T09:33:34Z</dcterms:modified>
</cp:coreProperties>
</file>