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fileSharing readOnlyRecommended="1"/>
  <workbookPr/>
  <mc:AlternateContent xmlns:mc="http://schemas.openxmlformats.org/markup-compatibility/2006">
    <mc:Choice Requires="x15">
      <x15ac:absPath xmlns:x15ac="http://schemas.microsoft.com/office/spreadsheetml/2010/11/ac" url="C:\Users\b202213\Downloads\"/>
    </mc:Choice>
  </mc:AlternateContent>
  <xr:revisionPtr revIDLastSave="0" documentId="8_{98ECE8B7-F95E-433C-8344-011507C0E33B}" xr6:coauthVersionLast="47" xr6:coauthVersionMax="47" xr10:uidLastSave="{00000000-0000-0000-0000-000000000000}"/>
  <workbookProtection workbookAlgorithmName="SHA-512" workbookHashValue="JhCI0vMjGtAmglMrd5nDy5AJuclvEcDh/qEA7LNwLnObeQMdp7+cyrkfWVLwOW3d1xc4deW/K+TC2Osjt9JZbQ==" workbookSaltValue="xNXEXjT1BkJ5tHhy2Jds/Q==" workbookSpinCount="100000" lockStructure="1"/>
  <bookViews>
    <workbookView xWindow="-120" yWindow="-120" windowWidth="29040" windowHeight="17640" tabRatio="862" xr2:uid="{00000000-000D-0000-FFFF-FFFF00000000}"/>
  </bookViews>
  <sheets>
    <sheet name="Content" sheetId="10" r:id="rId1"/>
    <sheet name="Overview of key figures" sheetId="25" r:id="rId2"/>
    <sheet name="Overblik over nøgletal backup" sheetId="22" state="hidden" r:id="rId3"/>
    <sheet name="FN Impact Analyse (2)" sheetId="24" state="hidden" r:id="rId4"/>
    <sheet name="UN impact analysis" sheetId="17" r:id="rId5"/>
    <sheet name="Ark1" sheetId="23" state="hidden" r:id="rId6"/>
    <sheet name="Housing loans" sheetId="37" r:id="rId7"/>
    <sheet name="Car loans and leasing" sheetId="38" r:id="rId8"/>
    <sheet name="Investments for customers" sheetId="39" r:id="rId9"/>
    <sheet name="Investments in own portfolio" sheetId="40" r:id="rId10"/>
    <sheet name="Climate accounts" sheetId="13" r:id="rId11"/>
    <sheet name="Environmental accounts" sheetId="9" r:id="rId12"/>
    <sheet name="Customers" sheetId="16" r:id="rId13"/>
    <sheet name="Employees" sheetId="6" r:id="rId14"/>
    <sheet name="Governance and management" sheetId="12" r:id="rId15"/>
    <sheet name="Policies and practices" sheetId="11" r:id="rId16"/>
    <sheet name="Reporting principles" sheetId="19" r:id="rId17"/>
  </sheets>
  <definedNames>
    <definedName name="_Toc124793010" localSheetId="1">'Overview of key figures'!$A$25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6" l="1"/>
  <c r="E30" i="13"/>
  <c r="E34" i="13"/>
  <c r="C33" i="13"/>
  <c r="C32" i="13"/>
  <c r="C31" i="13"/>
  <c r="E29" i="13"/>
  <c r="E28" i="13"/>
  <c r="E27" i="13"/>
  <c r="E26" i="13"/>
  <c r="C18" i="13"/>
  <c r="D33" i="13" l="1"/>
  <c r="E105" i="13"/>
  <c r="B105" i="13"/>
  <c r="E94" i="13"/>
  <c r="B94" i="13"/>
  <c r="F105" i="13" l="1"/>
  <c r="F94" i="13"/>
  <c r="F106" i="13"/>
  <c r="F95" i="13"/>
  <c r="G391" i="13"/>
  <c r="G390" i="13"/>
  <c r="G389" i="13"/>
  <c r="D4" i="16" l="1"/>
  <c r="D6" i="16" l="1"/>
  <c r="D5" i="16"/>
  <c r="E5" i="16"/>
  <c r="E4" i="16"/>
  <c r="D3" i="16" l="1"/>
  <c r="G47" i="25"/>
  <c r="F47" i="25"/>
  <c r="D30" i="16"/>
  <c r="F5" i="40"/>
  <c r="E5" i="40"/>
  <c r="D5" i="40"/>
  <c r="C5" i="40"/>
  <c r="C52" i="25"/>
  <c r="E32" i="25"/>
  <c r="G62" i="25"/>
  <c r="F62" i="25"/>
  <c r="D62" i="25"/>
  <c r="E34" i="25"/>
  <c r="D32" i="25"/>
  <c r="H350" i="13"/>
  <c r="G350" i="13"/>
  <c r="F38" i="25" s="1"/>
  <c r="D331" i="13"/>
  <c r="F70" i="13"/>
  <c r="D323" i="13"/>
  <c r="D322" i="13"/>
  <c r="D320" i="13"/>
  <c r="D319" i="13"/>
  <c r="D316" i="13"/>
  <c r="D315" i="13" s="1"/>
  <c r="D321" i="13" l="1"/>
  <c r="D318" i="13"/>
  <c r="E19" i="9" l="1"/>
  <c r="N16" i="9"/>
  <c r="G8" i="6"/>
  <c r="F8" i="6"/>
  <c r="E8" i="6"/>
  <c r="D8" i="6"/>
  <c r="E18" i="9" s="1"/>
  <c r="F22" i="6"/>
  <c r="E22" i="6"/>
  <c r="D22" i="6"/>
  <c r="D17" i="37" l="1"/>
  <c r="D23" i="25" l="1"/>
  <c r="C24" i="25"/>
  <c r="F24" i="25"/>
  <c r="G23" i="25"/>
  <c r="G22" i="25"/>
  <c r="C23" i="25"/>
  <c r="F23" i="25"/>
  <c r="F22" i="25"/>
  <c r="G20" i="25"/>
  <c r="G19" i="25"/>
  <c r="G18" i="25"/>
  <c r="G17" i="25"/>
  <c r="F20" i="25"/>
  <c r="F19" i="25"/>
  <c r="F18" i="25"/>
  <c r="F17" i="25"/>
  <c r="H15" i="25"/>
  <c r="H14" i="25"/>
  <c r="H13" i="25"/>
  <c r="G13" i="25"/>
  <c r="F13" i="25"/>
  <c r="F11" i="25"/>
  <c r="F10" i="25"/>
  <c r="F9" i="25"/>
  <c r="F8" i="25"/>
  <c r="F7" i="25"/>
  <c r="F6" i="25"/>
  <c r="G5" i="25"/>
  <c r="F5" i="25"/>
  <c r="E28" i="25" l="1"/>
  <c r="D28" i="25"/>
  <c r="F37" i="25"/>
  <c r="F36" i="25"/>
  <c r="H35" i="25"/>
  <c r="G35" i="25"/>
  <c r="F35" i="25"/>
  <c r="H34" i="25"/>
  <c r="F34" i="25"/>
  <c r="K350" i="13"/>
  <c r="J350" i="13"/>
  <c r="I350" i="13"/>
  <c r="E52" i="25"/>
  <c r="D9" i="40"/>
  <c r="G24" i="25" s="1"/>
  <c r="C9" i="40"/>
  <c r="D24" i="25" s="1"/>
  <c r="D38" i="6"/>
  <c r="D37" i="6"/>
  <c r="B371" i="13" l="1"/>
  <c r="C371" i="13"/>
  <c r="D371" i="13"/>
  <c r="E371" i="13"/>
  <c r="F371" i="13"/>
  <c r="G371" i="13"/>
  <c r="D335" i="13"/>
  <c r="D334" i="13"/>
  <c r="D333" i="13"/>
  <c r="C16" i="13" s="1"/>
  <c r="D332" i="13"/>
  <c r="D330" i="13"/>
  <c r="D329" i="13"/>
  <c r="D328" i="13"/>
  <c r="D327" i="13"/>
  <c r="D326" i="13"/>
  <c r="D324" i="13" l="1"/>
  <c r="D336" i="13" s="1"/>
  <c r="D337" i="13" s="1"/>
  <c r="C15" i="13"/>
  <c r="C17" i="13"/>
  <c r="C14" i="13" l="1"/>
  <c r="D45" i="25"/>
  <c r="H70" i="13" l="1"/>
  <c r="E78" i="13" l="1"/>
  <c r="F100" i="13"/>
  <c r="C319" i="13"/>
  <c r="B9" i="13" s="1"/>
  <c r="C334" i="13"/>
  <c r="C333" i="13"/>
  <c r="C60" i="25"/>
  <c r="D59" i="25"/>
  <c r="D61" i="25"/>
  <c r="C61" i="25"/>
  <c r="D56" i="25"/>
  <c r="E42" i="25"/>
  <c r="D51" i="25"/>
  <c r="D47" i="25"/>
  <c r="D46" i="25"/>
  <c r="D44" i="25"/>
  <c r="D43" i="25"/>
  <c r="D42" i="25"/>
  <c r="D22" i="25" l="1"/>
  <c r="C22" i="25"/>
  <c r="D11" i="25"/>
  <c r="D5" i="25"/>
  <c r="D20" i="25"/>
  <c r="D19" i="25"/>
  <c r="D18" i="25"/>
  <c r="D17" i="25"/>
  <c r="C11" i="25"/>
  <c r="C10" i="25"/>
  <c r="C9" i="25"/>
  <c r="C8" i="25"/>
  <c r="C7" i="25"/>
  <c r="C6" i="25"/>
  <c r="C5" i="25"/>
  <c r="T350" i="13"/>
  <c r="S350" i="13"/>
  <c r="E38" i="25" s="1"/>
  <c r="C34" i="25"/>
  <c r="C32" i="25"/>
  <c r="E46" i="9"/>
  <c r="C31" i="25" s="1"/>
  <c r="F45" i="9"/>
  <c r="C28" i="25"/>
  <c r="C59" i="25"/>
  <c r="C62" i="25"/>
  <c r="C56" i="25"/>
  <c r="C50" i="25"/>
  <c r="C43" i="25"/>
  <c r="C54" i="25"/>
  <c r="C53" i="25"/>
  <c r="C51" i="25"/>
  <c r="C47" i="25"/>
  <c r="C46" i="25"/>
  <c r="C45" i="25"/>
  <c r="C42" i="25"/>
  <c r="E15" i="25"/>
  <c r="E14" i="25"/>
  <c r="E13" i="25"/>
  <c r="D13" i="25"/>
  <c r="C13" i="25"/>
  <c r="E39" i="9"/>
  <c r="V38" i="9"/>
  <c r="D31" i="25" s="1"/>
  <c r="V37" i="9"/>
  <c r="V29" i="9"/>
  <c r="V14" i="9" l="1"/>
  <c r="V10" i="9"/>
  <c r="N40" i="9"/>
  <c r="E31" i="25" s="1"/>
  <c r="N39" i="9"/>
  <c r="E29" i="25"/>
  <c r="N17" i="9"/>
  <c r="N14" i="9"/>
  <c r="N18" i="9" s="1"/>
  <c r="C30" i="25"/>
  <c r="AC350" i="13"/>
  <c r="AB350" i="13"/>
  <c r="D38" i="25" s="1"/>
  <c r="AC347" i="13"/>
  <c r="D37" i="25" s="1"/>
  <c r="AB347" i="13"/>
  <c r="D36" i="25" s="1"/>
  <c r="AC344" i="13"/>
  <c r="AB344" i="13"/>
  <c r="D35" i="25" s="1"/>
  <c r="T347" i="13"/>
  <c r="E37" i="25" s="1"/>
  <c r="S347" i="13"/>
  <c r="E36" i="25" s="1"/>
  <c r="T344" i="13"/>
  <c r="S344" i="13"/>
  <c r="E35" i="25" s="1"/>
  <c r="F344" i="13"/>
  <c r="E344" i="13"/>
  <c r="C35" i="25" s="1"/>
  <c r="E350" i="13"/>
  <c r="C38" i="25" s="1"/>
  <c r="F350" i="13"/>
  <c r="E347" i="13"/>
  <c r="F347" i="13"/>
  <c r="E28" i="9"/>
  <c r="E29" i="9" s="1"/>
  <c r="E40" i="9"/>
  <c r="E10" i="9"/>
  <c r="N28" i="9"/>
  <c r="E16" i="9" l="1"/>
  <c r="E17" i="9"/>
  <c r="T342" i="13"/>
  <c r="T343" i="13" s="1"/>
  <c r="E342" i="13"/>
  <c r="E343" i="13" s="1"/>
  <c r="C36" i="25"/>
  <c r="F342" i="13"/>
  <c r="F343" i="13" s="1"/>
  <c r="C37" i="25"/>
  <c r="S342" i="13"/>
  <c r="S343" i="13" s="1"/>
  <c r="E30" i="25"/>
  <c r="N19" i="9"/>
  <c r="N15" i="9"/>
  <c r="V16" i="9"/>
  <c r="D29" i="25" s="1"/>
  <c r="V17" i="9"/>
  <c r="V18" i="9"/>
  <c r="D30" i="25" s="1"/>
  <c r="V15" i="9"/>
  <c r="V19" i="9"/>
  <c r="AB342" i="13"/>
  <c r="AB343" i="13" s="1"/>
  <c r="AC342" i="13"/>
  <c r="AC343" i="13" s="1"/>
  <c r="C29" i="25"/>
  <c r="E15" i="9"/>
  <c r="E43" i="9"/>
  <c r="E45" i="9" s="1"/>
  <c r="N37" i="9"/>
  <c r="C20" i="25"/>
  <c r="C19" i="25"/>
  <c r="C18" i="25"/>
  <c r="C17" i="25"/>
  <c r="N21" i="9" l="1"/>
  <c r="N20" i="9"/>
  <c r="E21" i="9"/>
  <c r="E20" i="9"/>
  <c r="V20" i="9"/>
  <c r="V21" i="9"/>
  <c r="C335" i="13"/>
  <c r="C330" i="13"/>
  <c r="C329" i="13"/>
  <c r="C327" i="13"/>
  <c r="C328" i="13"/>
  <c r="C331" i="13"/>
  <c r="C332" i="13"/>
  <c r="C326" i="13"/>
  <c r="B7" i="13"/>
  <c r="B15" i="13" l="1"/>
  <c r="C324" i="13"/>
  <c r="B16" i="13"/>
  <c r="B17" i="13"/>
  <c r="D34" i="13"/>
  <c r="D32" i="13"/>
  <c r="D31" i="13"/>
  <c r="D30" i="13"/>
  <c r="D29" i="13"/>
  <c r="D28" i="13"/>
  <c r="D27" i="13"/>
  <c r="D26" i="13"/>
  <c r="D43" i="6" l="1"/>
  <c r="D54" i="25" s="1"/>
  <c r="D42" i="6"/>
  <c r="D53" i="25" s="1"/>
  <c r="D39" i="6"/>
  <c r="D50" i="25" s="1"/>
  <c r="D35" i="6"/>
  <c r="D34" i="6"/>
  <c r="D22" i="12"/>
  <c r="D60" i="25" s="1"/>
  <c r="D18" i="12"/>
  <c r="D17" i="12"/>
  <c r="E128" i="13"/>
  <c r="E117" i="13"/>
  <c r="C5" i="13"/>
  <c r="C11" i="13"/>
  <c r="C8" i="13"/>
  <c r="F115" i="13"/>
  <c r="F114" i="13"/>
  <c r="F113" i="13"/>
  <c r="F112" i="13"/>
  <c r="F111" i="13"/>
  <c r="F110" i="13"/>
  <c r="F109" i="13"/>
  <c r="F108" i="13"/>
  <c r="F107" i="13"/>
  <c r="F99" i="13"/>
  <c r="C322" i="13"/>
  <c r="C316" i="13"/>
  <c r="C315" i="13" s="1"/>
  <c r="C323" i="13"/>
  <c r="C320" i="13"/>
  <c r="B10" i="13" s="1"/>
  <c r="E116" i="13" l="1"/>
  <c r="C20" i="13"/>
  <c r="C19" i="13"/>
  <c r="E93" i="13"/>
  <c r="B13" i="13"/>
  <c r="B12" i="13"/>
  <c r="B11" i="13" s="1"/>
  <c r="B8" i="13"/>
  <c r="B6" i="13"/>
  <c r="B5" i="13" s="1"/>
  <c r="C318" i="13"/>
  <c r="C336" i="13" s="1"/>
  <c r="C337" i="13" s="1"/>
  <c r="C321" i="13"/>
  <c r="B128" i="13"/>
  <c r="F128" i="13" s="1"/>
  <c r="F168" i="13" l="1"/>
  <c r="G174" i="13" s="1"/>
  <c r="F157" i="13"/>
  <c r="G158" i="13" s="1"/>
  <c r="F146" i="13"/>
  <c r="G151" i="13" s="1"/>
  <c r="B168" i="13"/>
  <c r="C178" i="13" s="1"/>
  <c r="B157" i="13"/>
  <c r="C158" i="13" s="1"/>
  <c r="B146" i="13"/>
  <c r="B52" i="13" s="1"/>
  <c r="F96" i="13"/>
  <c r="C50" i="13"/>
  <c r="G78" i="13"/>
  <c r="B78" i="13"/>
  <c r="B46" i="13" s="1"/>
  <c r="B117" i="13"/>
  <c r="F104" i="13"/>
  <c r="F103" i="13"/>
  <c r="F102" i="13"/>
  <c r="F101" i="13"/>
  <c r="F98" i="13"/>
  <c r="F97" i="13"/>
  <c r="I70" i="13"/>
  <c r="G69" i="13"/>
  <c r="I79" i="13"/>
  <c r="H79" i="13"/>
  <c r="F79" i="13"/>
  <c r="H85" i="13"/>
  <c r="I85" i="13"/>
  <c r="I86" i="13"/>
  <c r="F85" i="13"/>
  <c r="H158" i="13"/>
  <c r="B50" i="13"/>
  <c r="H147" i="13"/>
  <c r="H178" i="13"/>
  <c r="H177" i="13"/>
  <c r="H176" i="13"/>
  <c r="H175" i="13"/>
  <c r="H174" i="13"/>
  <c r="H173" i="13"/>
  <c r="H172" i="13"/>
  <c r="H171" i="13"/>
  <c r="H170" i="13"/>
  <c r="H169" i="13"/>
  <c r="H156" i="13"/>
  <c r="H155" i="13"/>
  <c r="H154" i="13"/>
  <c r="H153" i="13"/>
  <c r="H152" i="13"/>
  <c r="H151" i="13"/>
  <c r="H150" i="13"/>
  <c r="H149" i="13"/>
  <c r="H148" i="13"/>
  <c r="H167" i="13"/>
  <c r="H166" i="13"/>
  <c r="H165" i="13"/>
  <c r="H164" i="13"/>
  <c r="H163" i="13"/>
  <c r="H162" i="13"/>
  <c r="H161" i="13"/>
  <c r="H160" i="13"/>
  <c r="H159" i="13"/>
  <c r="D55" i="13"/>
  <c r="C30" i="13" s="1"/>
  <c r="B61" i="13"/>
  <c r="B60" i="13"/>
  <c r="B59" i="13"/>
  <c r="B58" i="13"/>
  <c r="B57" i="13"/>
  <c r="B56" i="13"/>
  <c r="D61" i="13"/>
  <c r="D60" i="13"/>
  <c r="D59" i="13"/>
  <c r="C61" i="13"/>
  <c r="C60" i="13"/>
  <c r="C59" i="13"/>
  <c r="D58" i="13"/>
  <c r="C58" i="13"/>
  <c r="D57" i="13"/>
  <c r="C57" i="13"/>
  <c r="D56" i="13"/>
  <c r="C56" i="13"/>
  <c r="F129" i="13"/>
  <c r="F130" i="13"/>
  <c r="F131" i="13"/>
  <c r="F132" i="13"/>
  <c r="F133" i="13"/>
  <c r="F134" i="13"/>
  <c r="F135" i="13"/>
  <c r="F136" i="13"/>
  <c r="F137" i="13"/>
  <c r="F138" i="13"/>
  <c r="F119" i="13"/>
  <c r="F120" i="13"/>
  <c r="F121" i="13"/>
  <c r="F122" i="13"/>
  <c r="F123" i="13"/>
  <c r="F124" i="13"/>
  <c r="F125" i="13"/>
  <c r="F126" i="13"/>
  <c r="F127" i="13"/>
  <c r="F118" i="13"/>
  <c r="H71" i="13"/>
  <c r="H72" i="13"/>
  <c r="H73" i="13"/>
  <c r="H74" i="13"/>
  <c r="H75" i="13"/>
  <c r="H76" i="13"/>
  <c r="H77" i="13"/>
  <c r="H80" i="13"/>
  <c r="H81" i="13"/>
  <c r="H82" i="13"/>
  <c r="H83" i="13"/>
  <c r="H86" i="13"/>
  <c r="E69" i="13"/>
  <c r="B69" i="13"/>
  <c r="B45" i="13" s="1"/>
  <c r="I83" i="13"/>
  <c r="I82" i="13"/>
  <c r="I81" i="13"/>
  <c r="I80" i="13"/>
  <c r="F86" i="13"/>
  <c r="F83" i="13"/>
  <c r="F82" i="13"/>
  <c r="F81" i="13"/>
  <c r="F80" i="13"/>
  <c r="I77" i="13"/>
  <c r="I76" i="13"/>
  <c r="I75" i="13"/>
  <c r="I74" i="13"/>
  <c r="I73" i="13"/>
  <c r="I72" i="13"/>
  <c r="I71" i="13"/>
  <c r="F77" i="13"/>
  <c r="F76" i="13"/>
  <c r="F75" i="13"/>
  <c r="F74" i="13"/>
  <c r="F73" i="13"/>
  <c r="F72" i="13"/>
  <c r="F71" i="13"/>
  <c r="E6" i="16"/>
  <c r="E3" i="16" s="1"/>
  <c r="F29" i="24"/>
  <c r="F18" i="24"/>
  <c r="M10" i="24"/>
  <c r="J10" i="24"/>
  <c r="G10" i="24"/>
  <c r="D9" i="24"/>
  <c r="D8" i="24"/>
  <c r="D7" i="24"/>
  <c r="D10" i="24" s="1"/>
  <c r="D9" i="17"/>
  <c r="D8" i="17"/>
  <c r="D7" i="17"/>
  <c r="J10" i="17"/>
  <c r="G10" i="17"/>
  <c r="F17" i="17"/>
  <c r="F15" i="17"/>
  <c r="K15" i="17" s="1"/>
  <c r="F28" i="17"/>
  <c r="K28" i="17" s="1"/>
  <c r="F16" i="24"/>
  <c r="F31" i="17"/>
  <c r="K19" i="17" s="1"/>
  <c r="F32" i="24"/>
  <c r="K31" i="24" s="1"/>
  <c r="K16" i="24"/>
  <c r="K21" i="17"/>
  <c r="K16" i="17"/>
  <c r="K30" i="24"/>
  <c r="K19" i="24"/>
  <c r="K25" i="24"/>
  <c r="D10" i="17"/>
  <c r="K27" i="24" l="1"/>
  <c r="K17" i="24"/>
  <c r="K23" i="24"/>
  <c r="K18" i="17"/>
  <c r="K27" i="17"/>
  <c r="K24" i="24"/>
  <c r="K32" i="24"/>
  <c r="K30" i="17"/>
  <c r="K28" i="24"/>
  <c r="K31" i="17"/>
  <c r="K26" i="24"/>
  <c r="K23" i="17"/>
  <c r="K21" i="24"/>
  <c r="K22" i="17"/>
  <c r="K20" i="24"/>
  <c r="K24" i="17"/>
  <c r="K26" i="17"/>
  <c r="K22" i="24"/>
  <c r="K17" i="17"/>
  <c r="K29" i="17"/>
  <c r="K25" i="17"/>
  <c r="K29" i="24"/>
  <c r="K20" i="17"/>
  <c r="K18" i="24"/>
  <c r="C171" i="13"/>
  <c r="B33" i="13"/>
  <c r="B116" i="13"/>
  <c r="B32" i="13"/>
  <c r="B55" i="13"/>
  <c r="C55" i="13"/>
  <c r="B30" i="13" s="1"/>
  <c r="H69" i="13"/>
  <c r="F69" i="13"/>
  <c r="B31" i="13"/>
  <c r="G161" i="13"/>
  <c r="G165" i="13"/>
  <c r="C164" i="13"/>
  <c r="G171" i="13"/>
  <c r="E68" i="13"/>
  <c r="G169" i="13"/>
  <c r="C157" i="13"/>
  <c r="C159" i="13"/>
  <c r="C162" i="13"/>
  <c r="G166" i="13"/>
  <c r="G157" i="13"/>
  <c r="G164" i="13"/>
  <c r="C167" i="13"/>
  <c r="G160" i="13"/>
  <c r="G162" i="13"/>
  <c r="C160" i="13"/>
  <c r="H78" i="13"/>
  <c r="G167" i="13"/>
  <c r="C151" i="13"/>
  <c r="C163" i="13"/>
  <c r="G159" i="13"/>
  <c r="C156" i="13"/>
  <c r="C177" i="13"/>
  <c r="D50" i="13"/>
  <c r="F117" i="13"/>
  <c r="G170" i="13"/>
  <c r="C48" i="13"/>
  <c r="G178" i="13"/>
  <c r="G147" i="13"/>
  <c r="C53" i="13"/>
  <c r="C45" i="13"/>
  <c r="G68" i="13"/>
  <c r="G149" i="13"/>
  <c r="B68" i="13"/>
  <c r="G146" i="13"/>
  <c r="F78" i="13"/>
  <c r="H146" i="13"/>
  <c r="B145" i="13"/>
  <c r="C145" i="13" s="1"/>
  <c r="G172" i="13"/>
  <c r="G173" i="13"/>
  <c r="G154" i="13"/>
  <c r="G175" i="13"/>
  <c r="B48" i="13"/>
  <c r="C46" i="13"/>
  <c r="C52" i="13"/>
  <c r="G155" i="13"/>
  <c r="C54" i="13"/>
  <c r="I78" i="13"/>
  <c r="C168" i="13"/>
  <c r="C176" i="13"/>
  <c r="B53" i="13"/>
  <c r="G163" i="13"/>
  <c r="I69" i="13"/>
  <c r="H157" i="13"/>
  <c r="C169" i="13"/>
  <c r="G156" i="13"/>
  <c r="B54" i="13"/>
  <c r="G177" i="13"/>
  <c r="G168" i="13"/>
  <c r="G176" i="13"/>
  <c r="G150" i="13"/>
  <c r="G148" i="13"/>
  <c r="F145" i="13"/>
  <c r="G152" i="13"/>
  <c r="G153" i="13"/>
  <c r="C173" i="13"/>
  <c r="C172" i="13"/>
  <c r="C175" i="13"/>
  <c r="C174" i="13"/>
  <c r="C170" i="13"/>
  <c r="H168" i="13"/>
  <c r="C166" i="13"/>
  <c r="C161" i="13"/>
  <c r="C165" i="13"/>
  <c r="C152" i="13"/>
  <c r="C155" i="13"/>
  <c r="C150" i="13"/>
  <c r="C149" i="13"/>
  <c r="C148" i="13"/>
  <c r="C153" i="13"/>
  <c r="C146" i="13"/>
  <c r="C154" i="13"/>
  <c r="C147" i="13"/>
  <c r="D40" i="25" l="1"/>
  <c r="B93" i="13"/>
  <c r="F93" i="13" s="1"/>
  <c r="F116" i="13"/>
  <c r="B49" i="13"/>
  <c r="B47" i="13" s="1"/>
  <c r="C40" i="25"/>
  <c r="H68" i="13"/>
  <c r="D39" i="25"/>
  <c r="C39" i="25"/>
  <c r="B51" i="13"/>
  <c r="B44" i="13"/>
  <c r="C51" i="13"/>
  <c r="B29" i="13" s="1"/>
  <c r="C44" i="13"/>
  <c r="B27" i="13" s="1"/>
  <c r="D54" i="13"/>
  <c r="D45" i="13"/>
  <c r="H145" i="13"/>
  <c r="D46" i="13"/>
  <c r="F68" i="13"/>
  <c r="D48" i="13"/>
  <c r="I68" i="13"/>
  <c r="C49" i="13"/>
  <c r="E40" i="25" s="1"/>
  <c r="D52" i="13"/>
  <c r="D53" i="13"/>
  <c r="C47" i="13" l="1"/>
  <c r="E39" i="25"/>
  <c r="B43" i="13"/>
  <c r="B42" i="13" s="1"/>
  <c r="E51" i="13" s="1"/>
  <c r="D51" i="13"/>
  <c r="C29" i="13" s="1"/>
  <c r="D49" i="13"/>
  <c r="B28" i="13" l="1"/>
  <c r="D47" i="13"/>
  <c r="C28" i="13" s="1"/>
  <c r="E47" i="13"/>
  <c r="C43" i="13"/>
  <c r="B26" i="13" s="1"/>
  <c r="E43" i="13"/>
  <c r="D44" i="13"/>
  <c r="C27" i="13" s="1"/>
  <c r="E60" i="13"/>
  <c r="E58" i="13"/>
  <c r="E44" i="13"/>
  <c r="E56" i="13"/>
  <c r="E53" i="13"/>
  <c r="E50" i="13"/>
  <c r="E48" i="13"/>
  <c r="E54" i="13"/>
  <c r="E61" i="13"/>
  <c r="E59" i="13"/>
  <c r="E46" i="13"/>
  <c r="E49" i="13"/>
  <c r="E57" i="13"/>
  <c r="E45" i="13"/>
  <c r="E52" i="13"/>
  <c r="C42" i="13" l="1"/>
  <c r="D43" i="13"/>
  <c r="C26" i="13" s="1"/>
  <c r="E55" i="13"/>
  <c r="E42" i="13" s="1"/>
  <c r="B34" i="13" l="1"/>
  <c r="F47" i="13"/>
  <c r="B18" i="13"/>
  <c r="B14" i="13" s="1"/>
  <c r="D42" i="13"/>
  <c r="C34" i="13" s="1"/>
  <c r="F48" i="13"/>
  <c r="F54" i="13"/>
  <c r="F45" i="13"/>
  <c r="F51" i="13"/>
  <c r="F44" i="13"/>
  <c r="F43" i="13"/>
  <c r="F58" i="13"/>
  <c r="F49" i="13"/>
  <c r="F50" i="13"/>
  <c r="F52" i="13"/>
  <c r="F57" i="13"/>
  <c r="F61" i="13"/>
  <c r="F59" i="13"/>
  <c r="F53" i="13"/>
  <c r="F46" i="13"/>
  <c r="F60" i="13"/>
  <c r="F56" i="13"/>
  <c r="B20" i="13" l="1"/>
  <c r="B19" i="13"/>
  <c r="F55" i="13"/>
  <c r="F42" i="13" s="1"/>
  <c r="D11" i="13" l="1"/>
  <c r="D5" i="13"/>
  <c r="D14" i="13"/>
  <c r="D19" i="13"/>
  <c r="D8" i="13"/>
  <c r="D20"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tc={4D491418-0F77-4B66-BD02-BAB76222A04D}</author>
  </authors>
  <commentList>
    <comment ref="A21" authorId="0" shapeId="0" xr:uid="{4D491418-0F77-4B66-BD02-BAB76222A04D}">
      <text>
        <t>[Trådet kommentar]
Din version af Excel lader dig læse denne trådede kommentar. Eventuelle ændringer vil dog blive fjernet, hvis filen åbnes i en nyere version af Excel. Få mere at vide: https://go.microsoft.com/fwlink/?linkid=870924
Kommentar:
    Se celle A22</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75ADA80-AB2D-4F1B-9F11-5A444065ACA2}" keepAlive="1" name="Forespørgsel - BonusResultat" description="Forbindelse til forespørgslen 'BonusResultat' i projektmappen." type="5" refreshedVersion="0" background="1" saveData="1">
    <dbPr connection="Provider=Microsoft.Mashup.OleDb.1;Data Source=$Workbook$;Location=BonusResultat;Extended Properties=&quot;&quot;" command="SELECT * FROM [BonusResultat]"/>
  </connection>
</connections>
</file>

<file path=xl/sharedStrings.xml><?xml version="1.0" encoding="utf-8"?>
<sst xmlns="http://schemas.openxmlformats.org/spreadsheetml/2006/main" count="2168" uniqueCount="894">
  <si>
    <r>
      <rPr>
        <b/>
        <sz val="18"/>
        <color theme="0"/>
        <rFont val="Calibri"/>
        <family val="2"/>
        <scheme val="minor"/>
      </rPr>
      <t xml:space="preserve">      ESG &amp; Sustainability Fact Book 2023   </t>
    </r>
    <r>
      <rPr>
        <b/>
        <sz val="18"/>
        <rFont val="Calibri"/>
        <family val="2"/>
        <scheme val="minor"/>
      </rPr>
      <t xml:space="preserve">     </t>
    </r>
  </si>
  <si>
    <t>This fact sheet book provides an overview of financing, the climate, the environment as well as social and governance aspects in A/S Arbejdernes Landsbank, AL Finans A/S and Vestjysk Bank A/S and describes the reporting principles and accounting policies for the individual data.  
For further information in relation to sustainability in the Arbejdernes Landsbank group, please refer to
- Responsibility and Sustainability Report 2023</t>
  </si>
  <si>
    <t>Content</t>
  </si>
  <si>
    <t>Overview of key figures</t>
  </si>
  <si>
    <t>UN impact analysis</t>
  </si>
  <si>
    <t>Sustainable finance</t>
  </si>
  <si>
    <t>Housing loans</t>
  </si>
  <si>
    <t>Car loans and leasing</t>
  </si>
  <si>
    <t>Investments on behalf of customers</t>
  </si>
  <si>
    <t>Investments in own portfolio</t>
  </si>
  <si>
    <t>Climate and environment</t>
  </si>
  <si>
    <t>Climate accounts</t>
  </si>
  <si>
    <t>Environmental accounts</t>
  </si>
  <si>
    <t>Social conditions</t>
  </si>
  <si>
    <t>Customers</t>
  </si>
  <si>
    <t>Employees</t>
  </si>
  <si>
    <t>Governance and management</t>
  </si>
  <si>
    <t>Annexes</t>
  </si>
  <si>
    <t>Policies and practices</t>
  </si>
  <si>
    <t>Reporting principles</t>
  </si>
  <si>
    <r>
      <rPr>
        <b/>
        <sz val="9"/>
        <color theme="1"/>
        <rFont val="Calibri"/>
        <family val="2"/>
        <scheme val="minor"/>
      </rPr>
      <t>Disclaimer</t>
    </r>
    <r>
      <rPr>
        <sz val="9"/>
        <color theme="1"/>
        <rFont val="Calibri"/>
        <family val="2"/>
        <scheme val="minor"/>
      </rPr>
      <t xml:space="preserve">
The information in the “Sustainability Fact Book” has been prepared by Arbejdernes Landsbank as general information for personal use.
The bank has made every effort to ensure that the information is accurate and fairly presented. The material has been prepared on the basis of internal information and data as well as publicly available material from external sources that the bank considers reliable. The information provided may have changed since the time of production and the information is not based on or adjusted to customers’ personal circumstances. Therefore, we encourage you to obtain additional and/or updated information from the bank. The bank accepts no liability for incorrect or missing information.  
The information in the material should not be construed as an offer or a suggestion to use a specific product or service at the bank.
Arbejdernes Landsbank has copyright of the material. Reproduction, redistribution or sharing may not take place without the bank’s prior written consent.</t>
    </r>
  </si>
  <si>
    <t>Key figures for business activities</t>
  </si>
  <si>
    <t>Unit</t>
  </si>
  <si>
    <t>Arbejdernes Landsbank</t>
  </si>
  <si>
    <t>Vestjysk Bank</t>
  </si>
  <si>
    <t>AL Finans</t>
  </si>
  <si>
    <t>Loans and credits</t>
  </si>
  <si>
    <t>Housing</t>
  </si>
  <si>
    <t xml:space="preserve">Housing loans on the balance sheet </t>
  </si>
  <si>
    <t>DKK bn.</t>
  </si>
  <si>
    <t>Total climate loan volume*</t>
  </si>
  <si>
    <t>DKK million</t>
  </si>
  <si>
    <t>Total energy loan volume</t>
  </si>
  <si>
    <t>ProvinsKlar volume in total</t>
  </si>
  <si>
    <t>Mortgage deeds total volume</t>
  </si>
  <si>
    <t>BoligBonus paid to customers with Totalkredit loans in the bank</t>
  </si>
  <si>
    <t>KundeKroner, discount for customers with Totalkredit loans in the bank</t>
  </si>
  <si>
    <t>Car</t>
  </si>
  <si>
    <t>Total car loans and leasing brokerage</t>
  </si>
  <si>
    <t>Loans for electric and plug-in hybrid cars volume</t>
  </si>
  <si>
    <t>Electric vehicle and plug-in hybrid car loans’ share of total car loans and leasing brokerage</t>
  </si>
  <si>
    <t>%</t>
  </si>
  <si>
    <t>Asset management</t>
  </si>
  <si>
    <t>Assets under management</t>
  </si>
  <si>
    <t>ESG-screened share of assets under management</t>
  </si>
  <si>
    <t>Investments with a sustainable focus (pursuant to SFDR’s Article 8)</t>
  </si>
  <si>
    <t>Nordic Swan Ecolabelled investments, assets under management</t>
  </si>
  <si>
    <t>Own portfolio</t>
  </si>
  <si>
    <t xml:space="preserve">Key figures for total own portfolio	</t>
  </si>
  <si>
    <t>Volume of investments in green bonds</t>
  </si>
  <si>
    <t>Share of investments in green bonds</t>
  </si>
  <si>
    <t>Key figures for climate, environment, social matters and governance</t>
  </si>
  <si>
    <t>Environmental conditions</t>
  </si>
  <si>
    <t xml:space="preserve">Renewable energy share </t>
  </si>
  <si>
    <t>Electricity consumption</t>
  </si>
  <si>
    <t>kWh/FTE</t>
  </si>
  <si>
    <t>Heat consumption</t>
  </si>
  <si>
    <t>Water consumption</t>
  </si>
  <si>
    <t>m3/FTE</t>
  </si>
  <si>
    <t>Waste separation rate</t>
  </si>
  <si>
    <t>Ecolabelled procurement</t>
  </si>
  <si>
    <t>Fixtures &amp; equipment 43.5
IT 57.23
Cleaning 98.1
Printing materials 0
Office supplies 87.67</t>
  </si>
  <si>
    <t>-</t>
  </si>
  <si>
    <t>Fixtures &amp; equipment 43.5
IT 46.4
Cleaning 98.1
Printing materials 88.5
Office supplies 66.1</t>
  </si>
  <si>
    <t>Organic produce in the canteen</t>
  </si>
  <si>
    <r>
      <t>Direct CO</t>
    </r>
    <r>
      <rPr>
        <b/>
        <vertAlign val="subscript"/>
        <sz val="11"/>
        <color theme="1"/>
        <rFont val="Calibri"/>
        <family val="2"/>
        <scheme val="minor"/>
      </rPr>
      <t>2</t>
    </r>
    <r>
      <rPr>
        <sz val="9"/>
        <color rgb="FF000000"/>
        <rFont val="Calibri"/>
        <family val="2"/>
        <scheme val="minor"/>
      </rPr>
      <t>e emissions (Scope 1)</t>
    </r>
  </si>
  <si>
    <r>
      <t>Tonnes CO</t>
    </r>
    <r>
      <rPr>
        <b/>
        <vertAlign val="subscript"/>
        <sz val="11"/>
        <color theme="1"/>
        <rFont val="Calibri"/>
        <family val="2"/>
        <scheme val="minor"/>
      </rPr>
      <t>2</t>
    </r>
    <r>
      <rPr>
        <sz val="9"/>
        <color rgb="FF000000"/>
        <rFont val="Calibri"/>
        <family val="2"/>
        <scheme val="minor"/>
      </rPr>
      <t>e</t>
    </r>
  </si>
  <si>
    <r>
      <t>Indirect CO</t>
    </r>
    <r>
      <rPr>
        <b/>
        <vertAlign val="subscript"/>
        <sz val="11"/>
        <color rgb="FF000000"/>
        <rFont val="Calibri"/>
        <family val="2"/>
      </rPr>
      <t>2</t>
    </r>
    <r>
      <rPr>
        <sz val="9"/>
        <color rgb="FF000000"/>
        <rFont val="Calibri"/>
        <family val="2"/>
      </rPr>
      <t>e emissions(Scope 2, market-based)</t>
    </r>
  </si>
  <si>
    <r>
      <t>Indirect CO</t>
    </r>
    <r>
      <rPr>
        <b/>
        <vertAlign val="subscript"/>
        <sz val="11"/>
        <color rgb="FF000000"/>
        <rFont val="Calibri"/>
        <family val="2"/>
      </rPr>
      <t>2</t>
    </r>
    <r>
      <rPr>
        <sz val="9"/>
        <color rgb="FF000000"/>
        <rFont val="Calibri"/>
        <family val="2"/>
      </rPr>
      <t>e emissions (Scope 2 location-based)</t>
    </r>
  </si>
  <si>
    <t>Tonnes CO2e</t>
  </si>
  <si>
    <t>Other indirect CO2e emissions (Scope 3, categories 1-14)</t>
  </si>
  <si>
    <r>
      <t>Other indirect CO</t>
    </r>
    <r>
      <rPr>
        <b/>
        <vertAlign val="subscript"/>
        <sz val="11"/>
        <color rgb="FF000000"/>
        <rFont val="Calibri"/>
        <family val="2"/>
        <scheme val="minor"/>
      </rPr>
      <t>2</t>
    </r>
    <r>
      <rPr>
        <sz val="9"/>
        <color rgb="FF000000"/>
        <rFont val="Calibri"/>
        <family val="2"/>
        <scheme val="minor"/>
      </rPr>
      <t>e emissions (Scope 3, category 15)</t>
    </r>
  </si>
  <si>
    <r>
      <t>Tonnes CO</t>
    </r>
    <r>
      <rPr>
        <b/>
        <vertAlign val="subscript"/>
        <sz val="11"/>
        <color rgb="FF000000"/>
        <rFont val="Calibri"/>
        <family val="2"/>
        <scheme val="minor"/>
      </rPr>
      <t>2</t>
    </r>
    <r>
      <rPr>
        <sz val="9"/>
        <color rgb="FF000000"/>
        <rFont val="Calibri"/>
        <family val="2"/>
        <scheme val="minor"/>
      </rPr>
      <t>e</t>
    </r>
  </si>
  <si>
    <r>
      <t>Financed CO</t>
    </r>
    <r>
      <rPr>
        <b/>
        <vertAlign val="subscript"/>
        <sz val="11"/>
        <color theme="1"/>
        <rFont val="Calibri"/>
        <family val="2"/>
        <scheme val="minor"/>
      </rPr>
      <t>2</t>
    </r>
    <r>
      <rPr>
        <sz val="9"/>
        <color rgb="FF000000"/>
        <rFont val="Calibri"/>
        <family val="2"/>
        <scheme val="minor"/>
      </rPr>
      <t>e footprint (Scope 3, category 15)</t>
    </r>
  </si>
  <si>
    <r>
      <t>Tonnes CO</t>
    </r>
    <r>
      <rPr>
        <b/>
        <vertAlign val="subscript"/>
        <sz val="11"/>
        <color theme="1"/>
        <rFont val="Calibri"/>
        <family val="2"/>
        <scheme val="minor"/>
      </rPr>
      <t>2</t>
    </r>
    <r>
      <rPr>
        <sz val="9"/>
        <color rgb="FF000000"/>
        <rFont val="Calibri"/>
        <family val="2"/>
        <scheme val="minor"/>
      </rPr>
      <t>e/DKK million</t>
    </r>
  </si>
  <si>
    <t>Full-time workforce</t>
  </si>
  <si>
    <t>FTE</t>
  </si>
  <si>
    <t>Customer satisfaction, Voxmeter, annual</t>
  </si>
  <si>
    <t>Ranking</t>
  </si>
  <si>
    <t>Customer satisfaction, Voxmeter, annual*</t>
  </si>
  <si>
    <t>CEM score</t>
  </si>
  <si>
    <t>Customer satisfaction after meetings</t>
  </si>
  <si>
    <t>NPS score 0-100</t>
  </si>
  <si>
    <t>Customer growth (net)</t>
  </si>
  <si>
    <t>Number</t>
  </si>
  <si>
    <t>-9,644**</t>
  </si>
  <si>
    <t>Customer retention</t>
  </si>
  <si>
    <t>Gender diversity among full-time employees</t>
  </si>
  <si>
    <t>m/w %</t>
  </si>
  <si>
    <t>49/51</t>
  </si>
  <si>
    <t>58/42</t>
  </si>
  <si>
    <t>46/54</t>
  </si>
  <si>
    <t>59/41</t>
  </si>
  <si>
    <t>48/52</t>
  </si>
  <si>
    <t>Gender diversity among managers with staff responsibilities</t>
  </si>
  <si>
    <t>33/67</t>
  </si>
  <si>
    <t>35/65</t>
  </si>
  <si>
    <t>25/75</t>
  </si>
  <si>
    <t>30/70</t>
  </si>
  <si>
    <t>32/68</t>
  </si>
  <si>
    <t>Gender pay gap</t>
  </si>
  <si>
    <t>Multiple</t>
  </si>
  <si>
    <t>Average seniority</t>
  </si>
  <si>
    <t>Years</t>
  </si>
  <si>
    <t>Employee satisfaction measured by job satisfaction/loyalty</t>
  </si>
  <si>
    <t>0-100</t>
  </si>
  <si>
    <t>77/-</t>
  </si>
  <si>
    <t>77/83</t>
  </si>
  <si>
    <t>80/85</t>
  </si>
  <si>
    <t>Staff turnover rate</t>
  </si>
  <si>
    <t>Sickness absence per employee</t>
  </si>
  <si>
    <t>Days/FTE</t>
  </si>
  <si>
    <t xml:space="preserve">Governance and management </t>
  </si>
  <si>
    <t>Attendance at Board of Directors meetings</t>
  </si>
  <si>
    <t>Gender diversity on the Board of Directors</t>
  </si>
  <si>
    <t>36/64</t>
  </si>
  <si>
    <t>14/86</t>
  </si>
  <si>
    <t>22/78</t>
  </si>
  <si>
    <t>0/100</t>
  </si>
  <si>
    <t>Gender diversity on the Executive Board</t>
  </si>
  <si>
    <t>20/80</t>
  </si>
  <si>
    <t>16.2/83.3</t>
  </si>
  <si>
    <t>Attendance at sustainability committee meetings</t>
  </si>
  <si>
    <t>Salary difference between CEO and employees</t>
  </si>
  <si>
    <t>Share of employees who have completed anti-money laundering/terrorism certification</t>
  </si>
  <si>
    <t>Attendance at ESG committee meetings***</t>
  </si>
  <si>
    <r>
      <rPr>
        <b/>
        <sz val="9"/>
        <color theme="1"/>
        <rFont val="Calibri"/>
        <family val="2"/>
        <scheme val="minor"/>
      </rPr>
      <t>Notes</t>
    </r>
    <r>
      <rPr>
        <sz val="9"/>
        <color theme="1"/>
        <rFont val="Calibri"/>
        <family val="2"/>
        <scheme val="minor"/>
      </rPr>
      <t xml:space="preserve">
* Climate loans have stopped for newly issued loans as of 1/5/2023.
* Vestjysk Bank’s net decrease in customer numbers is due to the divestment of Vestjysk Bank’s branches in Rødekro, Tinglev and Løgumkloster in October 2022.
** The ESG committee at Arbejdernes Landsbank was established in 2023.
A new calculation method for the CEM score means that the CEM score for 2023 cannot be compared with previous years.</t>
    </r>
  </si>
  <si>
    <t>ESG-nøgletal</t>
  </si>
  <si>
    <t>Enhed</t>
  </si>
  <si>
    <t>AL</t>
  </si>
  <si>
    <t>VB</t>
  </si>
  <si>
    <t>Bæredygtig finansiering</t>
  </si>
  <si>
    <t>Bolig</t>
  </si>
  <si>
    <t xml:space="preserve">Samlet udlån til bolig på balancen </t>
  </si>
  <si>
    <t>Mio. DKK</t>
  </si>
  <si>
    <t>Klimalån volumen samlet</t>
  </si>
  <si>
    <t>Energilån volumen samlet</t>
  </si>
  <si>
    <t>ProvinsKlar volumen samlet</t>
  </si>
  <si>
    <t>Pantebreve volumen samlet</t>
  </si>
  <si>
    <t>BoligBonus udbetalt i alt til kunder med Totalkreditlån i banken</t>
  </si>
  <si>
    <t>KundeKroner, samlet rabat til kunder med Totalkreditlån i banken</t>
  </si>
  <si>
    <t>Bil</t>
  </si>
  <si>
    <t>Samlet billån og leasingformidling i alt</t>
  </si>
  <si>
    <t>Grønt billån volumen</t>
  </si>
  <si>
    <t>Bæredygtig kapitalforvaltning</t>
  </si>
  <si>
    <t>Samlet AUM</t>
  </si>
  <si>
    <t>mia. DKK</t>
  </si>
  <si>
    <t>ESG-screenet andel af total AUM</t>
  </si>
  <si>
    <t>Investeringer med bæredygtigt fokus (iht. SFDR artikel 8)</t>
  </si>
  <si>
    <t>Svanemærket investeringsforening, AUM</t>
  </si>
  <si>
    <t>Bæredygtig egenbeholdning</t>
  </si>
  <si>
    <t>Volumen for investeringer i grønne obligationer</t>
  </si>
  <si>
    <t>Miljømæssige forhold</t>
  </si>
  <si>
    <t>Direkte CO2e forbrug (Scope 1)</t>
  </si>
  <si>
    <t>Ton CO2e/FTE</t>
  </si>
  <si>
    <t>Indirekte CO2e forbrug (Scope 2)</t>
  </si>
  <si>
    <t>Vedvarende energiandel Scope 1 og 2</t>
  </si>
  <si>
    <t>Andre indirekte påvirkninger (scope 3)</t>
  </si>
  <si>
    <t>Elforbrug</t>
  </si>
  <si>
    <t>Varmeforbrug</t>
  </si>
  <si>
    <t>Vandforbrug</t>
  </si>
  <si>
    <t>Udsorteringsgrad af affald</t>
  </si>
  <si>
    <t>Miljømærket indkøb</t>
  </si>
  <si>
    <t>Finansieret CO2e-udledning udlån (Scope 3)</t>
  </si>
  <si>
    <t>Ton CO2e/mio. DKK</t>
  </si>
  <si>
    <t>Finansieret CO2e-udledning kunders investeringer (Scope 3)</t>
  </si>
  <si>
    <t>Finansieret CO2e-udledning egenbeholdning (Scope 3)</t>
  </si>
  <si>
    <t>Sociale forhold</t>
  </si>
  <si>
    <t>Kundetilfredshed, Voxmeter, årlig</t>
  </si>
  <si>
    <t>Placering</t>
  </si>
  <si>
    <t>CEM-score</t>
  </si>
  <si>
    <t>Kundetilfredshed efter møder</t>
  </si>
  <si>
    <t>NPS-score 0-100</t>
  </si>
  <si>
    <t>Kundetilgang (netto)</t>
  </si>
  <si>
    <t>Antal</t>
  </si>
  <si>
    <t>Fastholdelse af kunder</t>
  </si>
  <si>
    <t>Kønsdiversitet blandt fuldtidsansatte</t>
  </si>
  <si>
    <t>k/m%</t>
  </si>
  <si>
    <t>Kønsdiversitet blandt ledere</t>
  </si>
  <si>
    <t>Lønforskel mellem køn</t>
  </si>
  <si>
    <t>Gange</t>
  </si>
  <si>
    <t>Gennemsnitsanciennitet</t>
  </si>
  <si>
    <t>År</t>
  </si>
  <si>
    <t>Medarbejdertilfredshed målt ved arbejdsglæde/loyalitet</t>
  </si>
  <si>
    <t>Medarbejderomsætningshastighed</t>
  </si>
  <si>
    <t>Sygefravær per medarbejder</t>
  </si>
  <si>
    <t>Dage/FTE</t>
  </si>
  <si>
    <t xml:space="preserve">Governance og ledelse </t>
  </si>
  <si>
    <t>Tilstedeværelse på bestyrelsesmøder</t>
  </si>
  <si>
    <t>Kønsdiversitet i bestyrelsen</t>
  </si>
  <si>
    <t>Kønsdiversitet i direktionen</t>
  </si>
  <si>
    <t>Tilstedeværelse på bæredygtighedsudvalgsmøder</t>
  </si>
  <si>
    <t>Lønforskel mellem ordførende direktør og medarbejdere</t>
  </si>
  <si>
    <t>Andel af medarbejdere, der har gennemført certificering i hvidvask/terror</t>
  </si>
  <si>
    <t>Impact Analyse</t>
  </si>
  <si>
    <r>
      <rPr>
        <b/>
        <sz val="9"/>
        <color theme="1"/>
        <rFont val="Calibri"/>
        <family val="2"/>
        <scheme val="minor"/>
      </rPr>
      <t xml:space="preserve">
Baggrund og metode
</t>
    </r>
    <r>
      <rPr>
        <sz val="9"/>
        <color theme="1"/>
        <rFont val="Calibri"/>
        <family val="2"/>
        <scheme val="minor"/>
      </rPr>
      <t xml:space="preserve">Arbejdernes Landsbank har underskrevet FN's principper for ansvarlig bankdrift (PRB) og forpligtet sig til at implementere seks strategiske principper i bankens forretning og praksisser. Arbejdernes Landsbank anvender PRB som overordnet strategisk ramme omkring arbejdet med samfundsansvar og bæredygtighed. Et væsentligt skridt i implementeringen af PRB, er gennemførslen af en impact analyse, der identificerer de væsentligste positive såvel som negative impact områder samt kvantificere ét af dem.
Arbejdernes Landsbank har anvendt de FN udviklede værktøjer, Portfolio Impact Identification Tool og Investment Portfolio Impact Analysis Tool for henholdsvis udlån og investeringer. Begge værktøjer er udviklet for at supportere os som PRB-signatory i at kunne identificere væsentligste impact områder på tværs af bankens udlåns- og investeringsporteføljer - med henblik på at kunne øge de positive påvirkninger og nedbringe de negative påvirkninger gennem produkter, ydelser og rådgivning. Impact analysen består af følgende skridt:
</t>
    </r>
  </si>
  <si>
    <t>1. Koncernens hovedaktiviteter (scope)</t>
  </si>
  <si>
    <t>Arbejdernes Landsbank koncernen er en landsdækkende bankkoncern, der alene opererer i Danmark. Koncernen tilbyder relevante og konkurrencedygtige finansielle produkter og ydelser kombineret med kompetent rådgivning til private, foreninger og små og mellemstore virksomheder.
Arbejdernes Landsbank koncernen har forretningsaktiviteter i Arbejdernes Landsbank samt datterselskaberne AL Finans og Vestjysk Bank. Sidstnævnte blev Arbejdernes Landsbank officiel majoritetsejer af i maj 2021, og i forlængelse heraf blev Arbejdernes Landsbank koncernen udpeget som systemisk vigtigt finansielt institut i juni 2021. De to banker i koncernen drives som to selvstændige banker med hver sit fokus og brand. Denne impact analyse omfatter forretningsomfang og aktiviteter i Arbejdernes Landsbank, AL Finans og Vestjysk Bank.
Hovedaktiviteter i koncernen omfatter:
- Bank-, bolig-, andelsbolig- og billån målrettet privatkunder
- Finansiering af virksomhedsaktiviteter samt leasing af biler og køretøjer målrettet erhvervskunder 
- Investeringsaktiviteter målrettet privatkunder, erhvervskunder og foreningskunder
- Investeringer af egenbeholdning</t>
  </si>
  <si>
    <t>Koncernen</t>
  </si>
  <si>
    <t>Privatkunder</t>
  </si>
  <si>
    <t>Erhvervskunder</t>
  </si>
  <si>
    <t>Foreninger</t>
  </si>
  <si>
    <t>i alt</t>
  </si>
  <si>
    <t>2. Porteføljesammensætning (scale)</t>
  </si>
  <si>
    <t>Det omfattede forretningsomfang i impact analysen er opgjort pr. 31. december 2021 på udlånssiden og medio december 2021 på investeringssiden. Det omfattede forretningsomfang i impact analysen er valgt ud fra, at Arbejdernes Landsbank, AL Finans og Vestjysk Bank har en direkte adgang til eller direkte indflydelse på at påvirke sammensætningen af aktiviteterne. I afdækningen af forretningsomfang inkluderes det samlede udlån på balancen, investeringer på vegne af kunder og ejerkreds og investeringer af egenbeholdningen. Det omfattede forretningsomfang i analysen kan ikke sammenlignes med balancen i Arbejdernes Landsbank koncernens årsregnskab. Dette skyldes, at der i forretningsomfanget i analysen indgår udlån og investeringer, som ikke er balanceført hos Arbejdernes Landsbank, fx investeringer på vegne af vores kunder.</t>
  </si>
  <si>
    <t>Fordeling i procent</t>
  </si>
  <si>
    <t>Udlån i alt</t>
  </si>
  <si>
    <t>Privat</t>
  </si>
  <si>
    <t xml:space="preserve">Erhverv </t>
  </si>
  <si>
    <t>Landbrug og fiskeri</t>
  </si>
  <si>
    <t>Fremstilling</t>
  </si>
  <si>
    <t>Elektricitet, gas, damp og air condition forsyning</t>
  </si>
  <si>
    <t>Konstruktion</t>
  </si>
  <si>
    <t>Engros- og detailsalg</t>
  </si>
  <si>
    <t>Transport og opbevaring</t>
  </si>
  <si>
    <t>Information og kommunikation</t>
  </si>
  <si>
    <t>Finansiering og forsikring</t>
  </si>
  <si>
    <t>Ejendomme</t>
  </si>
  <si>
    <t>Andre service aktiviteter</t>
  </si>
  <si>
    <t>Investering</t>
  </si>
  <si>
    <t>Investeringer på vegne af kunder*</t>
  </si>
  <si>
    <t>Egenbeholdning</t>
  </si>
  <si>
    <t>I alt</t>
  </si>
  <si>
    <t>* Omfatter beholdninger i koncernens puljer, fuldmagtsaftaler, AL-FormueInvest og AL-LetInvest.</t>
  </si>
  <si>
    <t>3. Identifikation af potentielle impact områder (impact)</t>
  </si>
  <si>
    <r>
      <t xml:space="preserve">Til at kunne identificere hvilke impact områder, som koncernen hovedsageligt påvirker gennem sine forretningsaktiviteter, har vi anvendt FN's Portfolio Impact Identification Tool på udlånsdelen og Investment Portfolio Impact Analysis Tool på investeringsdelen. 
I Portfolio Impact Identification Tool og Investment Portfolio Impact Analysis Tool er brancher og lande tildelt forskellige grader af væsentlighed ift. impactområderne. Et impact område kan være væsentligt som følge af branchens effekt på impact området, men også som følge af aktivitetens omfang i koncernen.
</t>
    </r>
    <r>
      <rPr>
        <sz val="9"/>
        <rFont val="Calibri"/>
        <family val="2"/>
        <scheme val="minor"/>
      </rPr>
      <t xml:space="preserve">På udlånssiden har koncernen et forholdsvist stort antal privatkunder sammenlignet med antallet af erhvervskunder - ligesom langt hovedparten af bankens erhvervskunder er små og mellemstore virksomheder inden for forskellige brancher. Det betyder, at vi ved anvendelsen af Portfolio Impact Identification Tool får identificeret flere forskellige impact-områder. Herunder er "bolig", "Sundhed og sanitet” og "økonomisk sundhed og inklusion” blandt de potentielle positive impact områder. Blandt koncernens potentielle negative impact områder er "ressourceeffektivitet”, "klima" og "økonomisk sundhed og inklusion".
</t>
    </r>
    <r>
      <rPr>
        <sz val="9"/>
        <color theme="1"/>
        <rFont val="Calibri"/>
        <family val="2"/>
        <scheme val="minor"/>
      </rPr>
      <t xml:space="preserve">
På investeringssiden foretager koncernen investeringer på vegne af kunder og samt investeringer af koncernens egenbeholdning. Ved anvendelse af Investment Portfolio Impact Analysis Tool er "beskæftigelse", "økonomisk sundhed og inklusion" samt "bolig" blandt de positive impact-områder, mens de negative impact-områder tæller "ressourceeffektivitet, "økonomisk sundhed og inklusion" samt "klima".
Samlet set vurderer vi på baggrund af analysen, at impact områderne ”klima” og ”økonomisk sundhed og inklusion” er de mest signifikante impact områder. </t>
    </r>
  </si>
  <si>
    <t>Impact: Udlån</t>
  </si>
  <si>
    <t>Impact: Investeringer</t>
  </si>
  <si>
    <t>4. Relevans til den kontekst, banken opererer i (context)</t>
  </si>
  <si>
    <r>
      <rPr>
        <b/>
        <sz val="9"/>
        <color theme="1"/>
        <rFont val="Calibri"/>
        <family val="2"/>
        <scheme val="minor"/>
      </rPr>
      <t>Klima</t>
    </r>
    <r>
      <rPr>
        <sz val="9"/>
        <color theme="1"/>
        <rFont val="Calibri"/>
        <family val="2"/>
        <scheme val="minor"/>
      </rPr>
      <t xml:space="preserve">
I Danmark står klima højt på den politiske dagsorden og er blandt de absolut vigtigste temaer i relation til den bæredygtige udvikling af samfundet. 
I juni 2021 vedtog EU-Parlamentet EU's klimalov, der gør strategien ”The European Green Deal” og EU’s målsætning om klimaneutralitet fra 2050 juridisk bindende. EU vurderer bankerne og den finansielle sektor som værende blandt de mest centrale aktører, der kan bidrage til at sikre finansieringen af den bæredygtige udvikling og grønne omstilling af samfundet. Den finansielle sektor bliver allerede nu og vil de næste år blive reguleret yderligere, blandt andet som følge af The EU Taxonomy Regulation og fremtidige rapporteringskrav i forhold til EU's miljømål. 
I Danmark vedtog Folketinget i 2020 den danske klimalov, som betyder, at Danmark er juridisk forpligtet til at reducere sine drivhusgasemissioner med 70 procent i 2030 ift. 1990 og at sikre klimaneutralitet i senest 2050. Den danske regering ønsker, at Danmark skal tage internationalt lederskab for den grønne omstilling og har på den baggrund nedsat en række klimapartnerskaber med erhvervslivet, herunder Finanssektorens klimapartnerskab. Finanssektoren er ifølge den danske regering vigtig, fordi den grønne omstilling af samfundet og økonomien kræver massive investeringer, som blandt andet skal finansieres af den finansielle sektor. Finanssektorens klimapartnerskab har leveret en køreplan til regeringen for, hvordan partnerskabet kan bidrage til CO2e-reduktioner. 
Brancheforeningen Finans Danmark har derudover nedsat et 'Forum for Bæredygtig Finans', som er kommet med en række anbefalinger til, hvordan den finansielle sektor kan accelerere den bæredygtige omstilling af samfundet. Offentliggørelse af CO2e-aftryk og mål for fremtidige reduktioner er blandt anbefalingerne til den danske finansielle sektor.
</t>
    </r>
    <r>
      <rPr>
        <b/>
        <sz val="9"/>
        <color theme="1"/>
        <rFont val="Calibri"/>
        <family val="2"/>
        <scheme val="minor"/>
      </rPr>
      <t xml:space="preserve">Økonomisk sundhed og inklusion
</t>
    </r>
    <r>
      <rPr>
        <sz val="9"/>
        <color theme="1"/>
        <rFont val="Calibri"/>
        <family val="2"/>
        <scheme val="minor"/>
      </rPr>
      <t>Den danske velfærdsstat er med sit veletablerede sociale sikkerhedsnet, gratis uddannelse til alle og høj grad af ligestilling mellem mænd og kvinder et glimrende udgangspunkt for lige muligheder. Udsatte grupper i Danmark er dog stadig udsat for diskrimination og har ikke mulighed for at deltage i samfundet på lige fod med resten af befolkningen. Selvom uligheden i Danmark er relativt lav i et globalt perspektiv, er der stadig udfordringer og uligheder, der skal adresseres og rettes op på.</t>
    </r>
  </si>
  <si>
    <t>5. Kvantifikation af impact område (salience)</t>
  </si>
  <si>
    <r>
      <rPr>
        <sz val="9"/>
        <color rgb="FFFF0000"/>
        <rFont val="Calibri"/>
        <family val="2"/>
        <scheme val="minor"/>
      </rPr>
      <t xml:space="preserve">Arbejdernes Landsbank ønsker at foretage den første beregning af CO2e-udledningen på tværs af sine udlåns- og investeringsaktiviteter i 2021. Det skal ses som første skridt på vejen mod at kunne kvantificere et af de væsentligste negative impact områder for banken. </t>
    </r>
    <r>
      <rPr>
        <sz val="9"/>
        <color theme="1"/>
        <rFont val="Calibri"/>
        <family val="2"/>
        <scheme val="minor"/>
      </rPr>
      <t xml:space="preserve">
Finans Danmark har offentliggjort en model for beregning af CO2e på udlån og investeringer og har skabt et fælles rammeværk for, hvordan drivhusgasemissioner opgøres i den danske finansielle sektor. Arbejdernes Landsbank tager udgangspunkt i denne model.  
For at sikre ens regnemetoder og øget transparens og sammenlignelighed på tværs af sektoren har brancheorganisationen for Arbejdernes Landsbank, Spar Nord, Sydbank og Nykredit (Landsdækkende Banker) samt brancheorganisationen for danske lokale pengeinstitutter (LOPI) i 2021 bidraget til at skabe fælles regnskabspraksisser og konkrete regnemetoder for opgørelse af CO2e på tværs af bankerne. Arbejdernes Landsbank anvender disse regnskabspraksisser og konkrete regnemetoder i sin opgørelse af CO2e på udlån og investeringer.   </t>
    </r>
  </si>
  <si>
    <t>Se beregninger af bankens indirekte og direkte CO2e-udledning</t>
  </si>
  <si>
    <t>Impact analysis</t>
  </si>
  <si>
    <r>
      <rPr>
        <b/>
        <sz val="9"/>
        <color theme="1"/>
        <rFont val="Calibri"/>
        <family val="2"/>
        <scheme val="minor"/>
      </rPr>
      <t xml:space="preserve">
Background and methodology
</t>
    </r>
    <r>
      <rPr>
        <sz val="9"/>
        <color theme="1"/>
        <rFont val="Calibri"/>
        <family val="2"/>
        <scheme val="minor"/>
      </rPr>
      <t xml:space="preserve">Arbejdernes Landsbank has signed the UN Principles for Responsible Banking (PRB) and is committed to implementing six strategic principles in the bank’s business and practices. Arbejdernes Landsbank uses the PRB as an overall strategic framework for its work with corporate social responsibility and sustainability. A significant step in the implementation of the PRB is the completion of an impact analysis that identifies the main positive and negative impact areas and quantifies one of them.
Arbejdernes Landsbank has used the UN-developed Portfolio Impact Identification Tool and Investment Portfolio Impact Analysis Tool to analyse the impacts of loans and investments, respectively. Both tools are designed to support us as a PRB signatory in identifying key impact areas across the bank’s loan and investment portfolios in order to increase positive impacts and reduce negative impacts through products, services and advisory services. The impact analysis consists of the following steps:
</t>
    </r>
  </si>
  <si>
    <t>1. Principal activities of the group (scope)</t>
  </si>
  <si>
    <t>The Arbejdernes Landsbank group is a nationwide banking group that only operates in Denmark. The group offers relevant and competitive financial products and services combined with competent advisory services to private individuals, associations and small and medium-sized companies.
The group has business activities in Arbejdernes Landsbank as well as the subsidiaries AL Finans and Vestjysk Bank. Arbejdernes Landsbank became the official majority owner of the latter in May 2021, and following this, the Arbejdernes Landsbank group was designated a systemically important financial institution in June 2021. The two banks in the group operate as two independent banks, each with their own business models and brands. 
This impact analysis includes the business activities across the entire group. The main activities of the group include:
- Bank loans, housing loans, cooperative housing loans and car loans for private customers
- Financing of business activities and the leasing of cars and vehicles for business customers 
- Investment activities targeting private customers, business customers and association customers
- Investments of own portfolio
The business activities covered in the impact analysis are calculated as at 31 December 2021 on the loans side and mid-December 2021 on the investment side. The number of customers is calculated as at 31 December 2021.</t>
  </si>
  <si>
    <t>Group</t>
  </si>
  <si>
    <t>Private customers</t>
  </si>
  <si>
    <t>Business customers</t>
  </si>
  <si>
    <t>Associations</t>
  </si>
  <si>
    <t>Total</t>
  </si>
  <si>
    <t>2. Portfolio composition (Scale)</t>
  </si>
  <si>
    <t>The business activities included in the impact analysis has been selected on the basis of Arbejdernes Landsbank, AL Finans and Vestjysk Bank having direct access to or direct influence on the composition of the activities. When determining the scope of business activities, there is included total loans on the balance sheet, investments on behalf of customers and owners and investments of the own portfolio. The business activities included in the analysis cannot be compared with the balance sheet in the financial statements of the Arbejdernes Landsbank group. This is because the business activities in the analysis includes loans and investments that are not recognised on the balance sheet of Arbejdernes Landsbank, for example, investments on behalf of our customers.
The business activities consist primarily of loans to private customers which accounts for 42% and include, among other things, car loans and housing loans. Loans for business customers account for 14% of the business activity and are split between loans to small and medium-sized businesses in a variety of industries. Agriculture and fisheries, retail, finance and insurance and properties each account for more than 10% of the business portfolio. Investments on behalf of customers account for 21% of the business activities and are distributed across various asset classes and geographies, including primarily Danish and US equities in listed companies and Danish government and mortgage-credit bonds. Investments in own holdings account for 23% of the business activities and consist primarily of Danish corporate, government and mortgage-credit bonds.</t>
  </si>
  <si>
    <t>Distribution in per cent</t>
  </si>
  <si>
    <t>Total loans</t>
  </si>
  <si>
    <t>Private</t>
  </si>
  <si>
    <t>Total business</t>
  </si>
  <si>
    <t>Agriculture and fisheries</t>
  </si>
  <si>
    <t>Manufacturing</t>
  </si>
  <si>
    <t>Electricity, gas, steam and air conditioning supply</t>
  </si>
  <si>
    <t>Construction</t>
  </si>
  <si>
    <t>Wholesale and retail sales</t>
  </si>
  <si>
    <t>Other service activities</t>
  </si>
  <si>
    <t>Information and communication</t>
  </si>
  <si>
    <t>Financing and insurance</t>
  </si>
  <si>
    <t>Properties</t>
  </si>
  <si>
    <t>Total investments</t>
  </si>
  <si>
    <t>Investments on behalf of customers*</t>
  </si>
  <si>
    <t>* Includes holdings in the group’s pools, portfolio management mandates, AL-FormueInvest and AL-LetInvest.</t>
  </si>
  <si>
    <t>The business activities covered in the impact analysis are calculated as at 31 December 2021 on the loans side and mid-December 2021 on the investment side.</t>
  </si>
  <si>
    <t>3. Relevance to the context in which the group operates (Context)</t>
  </si>
  <si>
    <t>In Denmark - as in the EU - climate is high on the political agenda. The Danish Parliament has passed a climate law and made Denmark legally obligated to reduce its greenhouse gas emissions by 70 per cent by 2030 and to ensure climate neutrality by 2050 at the latest. The green transition will require fundamental changes in Danish society. The Danish Climate Act specifies that climate initiatives must take into account that a green transition can be made while maintaining a strong welfare society where cohesion and social balance are ensured.
The financial sector in the EU and in Denmark has been identified as one of the key players in ensuring the fulfilment of climate goals through financing and investments. Finance Denmark’s ‘Forum for Sustainable Finance’ recommends that the Danish financial sector’s CO2e footprint and targets for future reductions should be made public.
The Danish welfare state, with its well-established social safety net, universal free education and a certain degree of equality between men and women is an excellent starting point for equal opportunities. However, there are still groups in Denmark who are discriminated against and who do not have the opportunity to participate in society on an equal footing with the rest of the population. Even though inequality in Denmark is relatively low in a global context, there are still challenges and inequalities that need to be addressed and corrected.</t>
  </si>
  <si>
    <t>4. Identification of potential impact areas (Impact)</t>
  </si>
  <si>
    <t>To identify the impact areas that the group mainly affects through its business activities, we have used the UN Portfolio Impact Identification Tool for the loans part and the Investment Portfolio Impact Analysis Tool for the investment part. 
In the Portfolio Impact Identification Tool and the Investment Portfolio Impact Analysis Tool, industries and countries are assigned different degrees of materiality in relation to the impact areas. An impact area can be significant due to the industry’s effect on the impact area but also due to the scale of activities in the group.
On the loans side, the group has a relatively large number of private customers compared to the number of business customers - just as the vast majority of the bank’s business customers are small and medium-sized businesses in different industries. This means that by using the Portfolio Impact Identification Tool, we are able to identify several different impact areas. The potential positive impact areas include “housing”, “health and sanitation” and “financial health and inclusion”. The group’s potential negative impact areas include “resource efficiency”, “climate” and “financial health and inclusion”.
On the investment side, the group makes investments on behalf of customers as well as making investments in the group’s own portfolio. Using the Investment Portfolio Impact Analysis Tool, the positive impact areas include “employment”, “financial health and inclusion” and “housing”, while the negative impact areas include “resource efficiency”, “financial health and inclusion” and “climate”.
Overall, based on the analysis, we believe that the impact areas “climate” and “financial health and inclusion” are the most significant impact areas for the group.</t>
  </si>
  <si>
    <t>Impact: Loans</t>
  </si>
  <si>
    <t>Impact: Investments</t>
  </si>
  <si>
    <t>5. Quantifying the impact area (Salience)</t>
  </si>
  <si>
    <r>
      <rPr>
        <b/>
        <sz val="9"/>
        <rFont val="Calibri"/>
        <family val="2"/>
        <scheme val="minor"/>
      </rPr>
      <t>Climate</t>
    </r>
    <r>
      <rPr>
        <sz val="9"/>
        <rFont val="Calibri"/>
        <family val="2"/>
        <scheme val="minor"/>
      </rPr>
      <t xml:space="preserve">
In 2021, we developed accounting policies and performed calculations of financed CO2e emissions on both the loans and investment side. Especially on the loans side, we are not quite there yet when it comes to exact data on how much CO2e is emitted into the atmosphere. However, based on a best effort approach and using both specific and statistical data, we have come up with an estimate that we believe is accurate and provides a good overview. In the 2022 report, we have included Vestjysk Bank in the calculation of funded emissions, so we can now estimate which business areas contribute to the largest funded emissions in the group.
</t>
    </r>
    <r>
      <rPr>
        <b/>
        <sz val="9"/>
        <rFont val="Calibri"/>
        <family val="2"/>
        <scheme val="minor"/>
      </rPr>
      <t>Financial health and inclusion</t>
    </r>
    <r>
      <rPr>
        <sz val="9"/>
        <rFont val="Calibri"/>
        <family val="2"/>
        <scheme val="minor"/>
      </rPr>
      <t xml:space="preserve">
The group identified the impact area “Financial Health and Inclusion” in 2022 and work in this area has therefore not progressed as much as the impact area “Climate”. In 2022, the work consisted of mapping existing initiatives and key figures that can be used to assess the group’s performance. The initial investigation shows that the group already reports on a range of relevant data such as customer satisfaction, customer acquisition and customer retention. In addition, the study shows that Arbejdernes Landsbank, by virtue of its history as a responsible bank, has over time launched initiatives that support particularly vulnerable groups in society, for example, through education or access to financial products. In 2023, the group will develop a framework that can be used as a baseline for concrete targets in this area. </t>
    </r>
  </si>
  <si>
    <t>See the calculations of the group’s indirect and direct CO2e emissions</t>
  </si>
  <si>
    <t>See the key figures for the group’s customers</t>
  </si>
  <si>
    <t xml:space="preserve">Total housing loans on the balance sheet </t>
  </si>
  <si>
    <t>Climate loans granted</t>
  </si>
  <si>
    <t>Total climate loan volume</t>
  </si>
  <si>
    <t>Climate loan volume increased by</t>
  </si>
  <si>
    <t>Energy loans granted</t>
  </si>
  <si>
    <t>Energy loans increased by</t>
  </si>
  <si>
    <t>ProvinsKlar loans granted</t>
  </si>
  <si>
    <t xml:space="preserve">ProvinsKlar volume increased by </t>
  </si>
  <si>
    <t>Total BoligBonus paid to customers with Totalkredit loans in the bank</t>
  </si>
  <si>
    <t>KundeKroner, total discount for customers with Totalkredit loans in the bank</t>
  </si>
  <si>
    <r>
      <rPr>
        <b/>
        <sz val="9"/>
        <color theme="1"/>
        <rFont val="Calibri"/>
        <family val="2"/>
        <scheme val="minor"/>
      </rPr>
      <t>Notes</t>
    </r>
    <r>
      <rPr>
        <sz val="9"/>
        <color theme="1"/>
        <rFont val="Calibri"/>
        <family val="2"/>
        <scheme val="minor"/>
      </rPr>
      <t>:</t>
    </r>
  </si>
  <si>
    <t>Vestjysk Bank - total loans for housing on the balance sheet 2022 has been restated.</t>
  </si>
  <si>
    <t>Climate loans have stopped for newly issued loans as of 1.5.2023.</t>
  </si>
  <si>
    <t>2024 target</t>
  </si>
  <si>
    <t>2023-mål</t>
  </si>
  <si>
    <t>Total car loans</t>
  </si>
  <si>
    <t>Granted car loans for electric and plug-in hybrid cars</t>
  </si>
  <si>
    <t>Car loans for electric and plug-in hybrid cars volume</t>
  </si>
  <si>
    <t>Car loans for electric and plug-in hybrid cars volume increased by</t>
  </si>
  <si>
    <t>Investments for customers</t>
  </si>
  <si>
    <t>Total AUM</t>
  </si>
  <si>
    <t>ESG-screened share of total AUM</t>
  </si>
  <si>
    <t xml:space="preserve">Share of AUM with a sustainable focus (pursuant to the SFDR’s Article 8) </t>
  </si>
  <si>
    <t>Investments with the Nordic Swan Ecolabel, AUM</t>
  </si>
  <si>
    <t>Notes:</t>
  </si>
  <si>
    <r>
      <rPr>
        <b/>
        <sz val="9"/>
        <color rgb="FF000000"/>
        <rFont val="Calibri"/>
        <family val="2"/>
      </rPr>
      <t>Total AUM</t>
    </r>
    <r>
      <rPr>
        <sz val="9"/>
        <color rgb="FF000000"/>
        <rFont val="Calibri"/>
        <family val="2"/>
      </rPr>
      <t xml:space="preserve">: Represents assets under management - in practice, total AUM is the total volume of the bank’s discretionary investment agreements.
</t>
    </r>
    <r>
      <rPr>
        <b/>
        <sz val="9"/>
        <color rgb="FF000000"/>
        <rFont val="Calibri"/>
        <family val="2"/>
      </rPr>
      <t>ESG-screened portfolio</t>
    </r>
    <r>
      <rPr>
        <sz val="9"/>
        <color rgb="FF000000"/>
        <rFont val="Calibri"/>
        <family val="2"/>
      </rPr>
      <t xml:space="preserve">: Consists of own investments in equities and credit bonds as well as investment funds that have a defined ESG policy. The ratio does not include Danish bonds under own management and parts of alternative investments as we are awaiting the implementation of a formalised internal process for Danish bonds. The method for calculating the key figure has changed as of 2022, and figures for 2021 and 2020 have been recalculated according to the new method.
</t>
    </r>
    <r>
      <rPr>
        <b/>
        <sz val="9"/>
        <color rgb="FF000000"/>
        <rFont val="Calibri"/>
        <family val="2"/>
      </rPr>
      <t>Investments with a sustainable focus (pursuant to Article 8):</t>
    </r>
    <r>
      <rPr>
        <sz val="9"/>
        <color rgb="FF000000"/>
        <rFont val="Calibri"/>
        <family val="2"/>
      </rPr>
      <t xml:space="preserve"> Represents investment products that are categorised as Article 8 compliant pursuant to the EU Disclosure Regulation as well as underlying investment funds/funds in our range of investment products categorised as Article 8 compliant. Single shares, single credit bonds, parts of alternative investments and Danish bonds under own management are currently not categorised as Article 8 compliant, which is why 2021 figures have been corrected in previous reporting.                                            
</t>
    </r>
    <r>
      <rPr>
        <b/>
        <sz val="9"/>
        <color rgb="FF000000"/>
        <rFont val="Calibri"/>
        <family val="2"/>
      </rPr>
      <t xml:space="preserve">Investments with the Nordic Swan Ecolabel, AUM: </t>
    </r>
    <r>
      <rPr>
        <sz val="9"/>
        <color rgb="FF000000"/>
        <rFont val="Calibri"/>
        <family val="2"/>
      </rPr>
      <t xml:space="preserve">Represents investments that have been awarded the Nordic Swan Ecolabel. Specifically, this includes Arbejdernes Landsbank’s own Nordic Swan Ecolabelled investment fund ‘AL Invest Udenlandske Aktier Etisk’ for asset management customers as well as other underlying investment funds/funds in our range of investment products that have been awarded the Nordic Swan Ecolabel. By the end of 2023, Arbejdernes Landsbank will offer three Nordic Swan Ecolabelled funds as an integrated part of the bank’s investment products. 
</t>
    </r>
    <r>
      <rPr>
        <b/>
        <sz val="9"/>
        <color rgb="FF000000"/>
        <rFont val="Calibri"/>
        <family val="2"/>
      </rPr>
      <t>Commentary</t>
    </r>
    <r>
      <rPr>
        <sz val="9"/>
        <color rgb="FF000000"/>
        <rFont val="Calibri"/>
        <family val="2"/>
      </rPr>
      <t xml:space="preserve">
For Vestjysk Bank, Total AUM has been adjusted in 2022 from 12.7 to 11.7 for non-attributed pool returns so that the figures are comparable. The same applies to Investments with a sustainable focus (pursuant to the SFDR’s Article 8) which was also corrected from 12.1 to 11.1.</t>
    </r>
  </si>
  <si>
    <t>Key figures for total own portfolio (Bonds)</t>
  </si>
  <si>
    <t>Group climate accounts 2023</t>
  </si>
  <si>
    <r>
      <rPr>
        <b/>
        <sz val="9"/>
        <rFont val="Calibri"/>
        <family val="2"/>
        <scheme val="minor"/>
      </rPr>
      <t>Background</t>
    </r>
    <r>
      <rPr>
        <sz val="9"/>
        <rFont val="Calibri"/>
        <family val="2"/>
        <scheme val="minor"/>
      </rPr>
      <t xml:space="preserve">
Measuring and reporting on CO</t>
    </r>
    <r>
      <rPr>
        <vertAlign val="subscript"/>
        <sz val="9"/>
        <rFont val="Calibri"/>
        <family val="2"/>
        <scheme val="minor"/>
      </rPr>
      <t>2</t>
    </r>
    <r>
      <rPr>
        <sz val="9"/>
        <rFont val="Calibri"/>
        <family val="2"/>
        <scheme val="minor"/>
      </rPr>
      <t>e first and foremost contributes to providing transparency about the group’s total emissions and is a prerequisite for setting long-term climate targets and adapting the group’s business activities and internal operations to the Paris Agreement. The 2022 reporting includes data on Arbejdernes Landsbank, AL Finans and Vestjysk Bank. The CO2e calculations are estimated on a best effort basis and include both specific data and statistical data. The calculation should therefore be viewed as an estimate.
The climate accounts have been prepared based on the GHG protocol (Greenhouse Gas Protocol), which is a standard for calculating greenhouse gas emissions. Pursuant to the GHG protocol, climate accounts are prepared based on a division between direct and indirect emissions. Direct emissions include the group’s emissions from sources owned or controlled by the group, such as, for example, cars (scope 1). The indirect emissions mainly include the group’s financed emissions (scope 3, category 15), i.e. the derived CO</t>
    </r>
    <r>
      <rPr>
        <vertAlign val="subscript"/>
        <sz val="9"/>
        <rFont val="Calibri"/>
        <family val="2"/>
        <scheme val="minor"/>
      </rPr>
      <t>2</t>
    </r>
    <r>
      <rPr>
        <sz val="9"/>
        <rFont val="Calibri"/>
        <family val="2"/>
        <scheme val="minor"/>
      </rPr>
      <t>e effect from the companies or assets that the group finances or invests in. In addition, indirect emissions are calculated for the use of electricity and heat in internal operations (scope 2). Other indirect emissions are also calculated for a number of categories for internal operations, such as the purchase of furniture and office supplies, employee transport and the use of IT services (scope 3).
We use Finance Denmark’s framework and model to calculate the financed CO</t>
    </r>
    <r>
      <rPr>
        <vertAlign val="subscript"/>
        <sz val="9"/>
        <rFont val="Calibri"/>
        <family val="2"/>
        <scheme val="minor"/>
      </rPr>
      <t>2</t>
    </r>
    <r>
      <rPr>
        <sz val="9"/>
        <rFont val="Calibri"/>
        <family val="2"/>
        <scheme val="minor"/>
      </rPr>
      <t>e emissions. Business activities used for the calculations, data sources and data quality are described below.  Increasing the share of specific data for these calculations will continue to be a focus area and we are constantly working to improve data and accounting policies. The data quality for each asset class is listed at the bottom of this tab. When it comes to loans, consumer loans, consumer credits and boat loans in Arbejdernes Landsbank and Vestjysk Bank as well as loans for motorcycles, loans for caravans and factoring in AL Finans are not included in the CO</t>
    </r>
    <r>
      <rPr>
        <vertAlign val="subscript"/>
        <sz val="9"/>
        <rFont val="Calibri"/>
        <family val="2"/>
        <scheme val="minor"/>
      </rPr>
      <t>2</t>
    </r>
    <r>
      <rPr>
        <sz val="9"/>
        <rFont val="Calibri"/>
        <family val="2"/>
        <scheme val="minor"/>
      </rPr>
      <t>e statement. For the investment area, ship credit, government bonds and cash are not included in the CO</t>
    </r>
    <r>
      <rPr>
        <vertAlign val="subscript"/>
        <sz val="9"/>
        <rFont val="Calibri"/>
        <family val="2"/>
        <scheme val="minor"/>
      </rPr>
      <t>2</t>
    </r>
    <r>
      <rPr>
        <sz val="9"/>
        <rFont val="Calibri"/>
        <family val="2"/>
        <scheme val="minor"/>
      </rPr>
      <t>e statement. This is because there is no data and calculation methods for these asset classes.</t>
    </r>
  </si>
  <si>
    <r>
      <t>The group’s total CO</t>
    </r>
    <r>
      <rPr>
        <b/>
        <vertAlign val="subscript"/>
        <sz val="9"/>
        <color rgb="FF000000"/>
        <rFont val="Calibri"/>
        <family val="2"/>
        <charset val="1"/>
      </rPr>
      <t>2</t>
    </r>
    <r>
      <rPr>
        <b/>
        <sz val="9"/>
        <color rgb="FF000000"/>
        <rFont val="Calibri"/>
        <family val="2"/>
        <charset val="1"/>
      </rPr>
      <t>e emissions (Arbejdernes Landsbank, AL Finans and Vestjysk Bank)</t>
    </r>
  </si>
  <si>
    <t> </t>
  </si>
  <si>
    <t>2023
(Tonnes CO2e)</t>
  </si>
  <si>
    <t>2022
(Tonnes CO2e)</t>
  </si>
  <si>
    <t>Share of CO2e emissions (%)</t>
  </si>
  <si>
    <r>
      <t>Scope 1 (direct CO</t>
    </r>
    <r>
      <rPr>
        <b/>
        <vertAlign val="subscript"/>
        <sz val="9"/>
        <color rgb="FF000000"/>
        <rFont val="Calibri"/>
        <family val="2"/>
        <charset val="1"/>
      </rPr>
      <t>2</t>
    </r>
    <r>
      <rPr>
        <b/>
        <sz val="9"/>
        <color rgb="FF000000"/>
        <rFont val="Calibri"/>
        <family val="2"/>
        <charset val="1"/>
      </rPr>
      <t>e emissions)</t>
    </r>
  </si>
  <si>
    <t>Company car travel</t>
  </si>
  <si>
    <t>Heating - oil and gas</t>
  </si>
  <si>
    <t>Scope 2 Market-based (indirect CO2e emissions)</t>
  </si>
  <si>
    <t>Heating (district heating and natural gas)</t>
  </si>
  <si>
    <t>Scope 2, Location-based (indirect CO2e emissions)</t>
  </si>
  <si>
    <t>Scope 3 (other indirect CO2e emissions)</t>
  </si>
  <si>
    <t>Purchased goods and services (category 1)</t>
  </si>
  <si>
    <t>Waste generated in connection with activities (category 5)</t>
  </si>
  <si>
    <t>Business travel (category 6)</t>
  </si>
  <si>
    <t xml:space="preserve">Financing and investments (category 15) </t>
  </si>
  <si>
    <r>
      <t>Total CO</t>
    </r>
    <r>
      <rPr>
        <b/>
        <vertAlign val="subscript"/>
        <sz val="9"/>
        <color rgb="FF000000"/>
        <rFont val="Calibri"/>
        <family val="2"/>
        <charset val="1"/>
      </rPr>
      <t>2</t>
    </r>
    <r>
      <rPr>
        <b/>
        <sz val="9"/>
        <color rgb="FF000000"/>
        <rFont val="Calibri"/>
        <family val="2"/>
        <charset val="1"/>
      </rPr>
      <t>e emissions (Market-based)</t>
    </r>
  </si>
  <si>
    <r>
      <t>Total CO</t>
    </r>
    <r>
      <rPr>
        <b/>
        <vertAlign val="subscript"/>
        <sz val="9"/>
        <color rgb="FF000000"/>
        <rFont val="Calibri"/>
        <family val="2"/>
        <charset val="1"/>
      </rPr>
      <t>2</t>
    </r>
    <r>
      <rPr>
        <b/>
        <sz val="9"/>
        <color rgb="FF000000"/>
        <rFont val="Calibri"/>
        <family val="2"/>
        <charset val="1"/>
      </rPr>
      <t>e emissions(Location-based)</t>
    </r>
  </si>
  <si>
    <r>
      <t>The group’s financed indirect CO</t>
    </r>
    <r>
      <rPr>
        <b/>
        <vertAlign val="subscript"/>
        <sz val="9"/>
        <color rgb="FF000000"/>
        <rFont val="Calibri"/>
        <family val="2"/>
        <charset val="1"/>
      </rPr>
      <t>2</t>
    </r>
    <r>
      <rPr>
        <b/>
        <sz val="9"/>
        <color rgb="FF000000"/>
        <rFont val="Calibri"/>
        <family val="2"/>
        <charset val="1"/>
      </rPr>
      <t>e emissions (Arbejdernes Landsbank, AL Finans and Vestjysk Bank)</t>
    </r>
  </si>
  <si>
    <t>Scope 3, Category 15</t>
  </si>
  <si>
    <t>CO2e emission 
(Tonnes CO2e)</t>
  </si>
  <si>
    <t>CO2e footprint 
(Tonnes CO2e/DKK million)</t>
  </si>
  <si>
    <t>Loans</t>
  </si>
  <si>
    <t>Property financing</t>
  </si>
  <si>
    <t>Business loans</t>
  </si>
  <si>
    <t>Investments</t>
  </si>
  <si>
    <t>Portfolio management mandates</t>
  </si>
  <si>
    <t>Pooled funds</t>
  </si>
  <si>
    <t>Total financed CO2e emissions</t>
  </si>
  <si>
    <r>
      <t>Total financed indirect CO</t>
    </r>
    <r>
      <rPr>
        <b/>
        <vertAlign val="subscript"/>
        <sz val="9"/>
        <color rgb="FF000000"/>
        <rFont val="Calibri"/>
        <family val="2"/>
      </rPr>
      <t>2</t>
    </r>
    <r>
      <rPr>
        <b/>
        <sz val="9"/>
        <color rgb="FF000000"/>
        <rFont val="Calibri"/>
        <family val="2"/>
      </rPr>
      <t>e emissions 2023</t>
    </r>
  </si>
  <si>
    <t>Business activities 
(DKK million)</t>
  </si>
  <si>
    <r>
      <t>CO</t>
    </r>
    <r>
      <rPr>
        <b/>
        <vertAlign val="subscript"/>
        <sz val="9"/>
        <color theme="1"/>
        <rFont val="Calibri"/>
        <family val="2"/>
        <scheme val="minor"/>
      </rPr>
      <t>2</t>
    </r>
    <r>
      <rPr>
        <b/>
        <sz val="9"/>
        <color theme="1"/>
        <rFont val="Calibri"/>
        <family val="2"/>
        <scheme val="minor"/>
      </rPr>
      <t>e emissions 
LTV scaled
(Tonnes CO</t>
    </r>
    <r>
      <rPr>
        <b/>
        <vertAlign val="subscript"/>
        <sz val="9"/>
        <color theme="1"/>
        <rFont val="Calibri"/>
        <family val="2"/>
        <scheme val="minor"/>
      </rPr>
      <t>2</t>
    </r>
    <r>
      <rPr>
        <b/>
        <sz val="9"/>
        <color theme="1"/>
        <rFont val="Calibri"/>
        <family val="2"/>
        <scheme val="minor"/>
      </rPr>
      <t>e)</t>
    </r>
  </si>
  <si>
    <r>
      <t>CO</t>
    </r>
    <r>
      <rPr>
        <b/>
        <vertAlign val="subscript"/>
        <sz val="9"/>
        <color theme="1"/>
        <rFont val="Calibri"/>
        <family val="2"/>
        <scheme val="minor"/>
      </rPr>
      <t>2</t>
    </r>
    <r>
      <rPr>
        <b/>
        <sz val="9"/>
        <color theme="1"/>
        <rFont val="Calibri"/>
        <family val="2"/>
        <scheme val="minor"/>
      </rPr>
      <t>e footprint 
LTV scaled
(Tonnes CO</t>
    </r>
    <r>
      <rPr>
        <b/>
        <vertAlign val="subscript"/>
        <sz val="9"/>
        <color theme="1"/>
        <rFont val="Calibri"/>
        <family val="2"/>
        <scheme val="minor"/>
      </rPr>
      <t>2</t>
    </r>
    <r>
      <rPr>
        <b/>
        <sz val="9"/>
        <color theme="1"/>
        <rFont val="Calibri"/>
        <family val="2"/>
        <scheme val="minor"/>
      </rPr>
      <t xml:space="preserve">e/DKK million) </t>
    </r>
  </si>
  <si>
    <t>Share of business activities (%)</t>
  </si>
  <si>
    <r>
      <t>Share of CO</t>
    </r>
    <r>
      <rPr>
        <b/>
        <vertAlign val="subscript"/>
        <sz val="9"/>
        <color theme="1"/>
        <rFont val="Calibri"/>
        <family val="2"/>
        <scheme val="minor"/>
      </rPr>
      <t>2</t>
    </r>
    <r>
      <rPr>
        <b/>
        <sz val="9"/>
        <color theme="1"/>
        <rFont val="Calibri"/>
        <family val="2"/>
        <scheme val="minor"/>
      </rPr>
      <t>e emissions (%) 
LTV scaled</t>
    </r>
  </si>
  <si>
    <t>CO2e emission 
LTV scaled
(Tonnes CO2e)</t>
  </si>
  <si>
    <t xml:space="preserve">CO2e footprint 
LTV scaled
(Tonnes CO2e/DKK million) </t>
  </si>
  <si>
    <t>Share of CO2e emissions (%) 
LTV scaled</t>
  </si>
  <si>
    <t xml:space="preserve">Total  </t>
  </si>
  <si>
    <t>LOANS</t>
  </si>
  <si>
    <t>Property financing (Arbejdernes Landsbank)</t>
  </si>
  <si>
    <t>Property financing (Vestjysk Bank)</t>
  </si>
  <si>
    <t>Car loans</t>
  </si>
  <si>
    <t>Car loans (Arbejdernes Landsbank)</t>
  </si>
  <si>
    <t>Car loans and leasing (AL Finans)</t>
  </si>
  <si>
    <t>Car loans (Vestjysk Bank)</t>
  </si>
  <si>
    <t>Business loans (Arbejdernes Landsbank)</t>
  </si>
  <si>
    <t>Business loans (AL Finans)</t>
  </si>
  <si>
    <t>Business loans (Vestjysk Bank)</t>
  </si>
  <si>
    <t>INVESTMENTS</t>
  </si>
  <si>
    <t>Portfolio management mandates (Arbejdernes Landsbank)</t>
  </si>
  <si>
    <t>Portfolio management mandates (Vestjysk Bank)</t>
  </si>
  <si>
    <t>Pooled funds (Arbejdernes Landsbank)</t>
  </si>
  <si>
    <t>Pooled funds (Vestjysk Bank)</t>
  </si>
  <si>
    <t>Own holdings (Arbejdernes Landsbank)</t>
  </si>
  <si>
    <t>Own portfolio (Vestjysk Bank)</t>
  </si>
  <si>
    <r>
      <rPr>
        <b/>
        <sz val="9"/>
        <color theme="1"/>
        <rFont val="Calibri"/>
        <family val="2"/>
        <scheme val="minor"/>
      </rPr>
      <t>Methodology and data sources:</t>
    </r>
    <r>
      <rPr>
        <sz val="9"/>
        <color theme="1"/>
        <rFont val="Calibri"/>
        <family val="2"/>
        <scheme val="minor"/>
      </rPr>
      <t xml:space="preserve"> 
The business activities included in the estimation of total CO</t>
    </r>
    <r>
      <rPr>
        <vertAlign val="subscript"/>
        <sz val="9"/>
        <color theme="1"/>
        <rFont val="Calibri"/>
        <family val="2"/>
        <scheme val="minor"/>
      </rPr>
      <t>2</t>
    </r>
    <r>
      <rPr>
        <sz val="9"/>
        <color theme="1"/>
        <rFont val="Calibri"/>
        <family val="2"/>
        <scheme val="minor"/>
      </rPr>
      <t>e emissions are for loans calculated on 31 December 2022 and for investments on 30 November 2022. The business activities include activities that Arbejdernes Landsbank, AL Finans and Vestjysk Bank are able to influence through products and advisory services. 
Financed greenhouse gas emissions are calculated in tonnes of CO</t>
    </r>
    <r>
      <rPr>
        <vertAlign val="subscript"/>
        <sz val="9"/>
        <color theme="1"/>
        <rFont val="Calibri"/>
        <family val="2"/>
        <scheme val="minor"/>
      </rPr>
      <t>2</t>
    </r>
    <r>
      <rPr>
        <sz val="9"/>
        <color theme="1"/>
        <rFont val="Calibri"/>
        <family val="2"/>
        <scheme val="minor"/>
      </rPr>
      <t xml:space="preserve"> equivalents (tonnes of CO</t>
    </r>
    <r>
      <rPr>
        <vertAlign val="subscript"/>
        <sz val="9"/>
        <color theme="1"/>
        <rFont val="Calibri"/>
        <family val="2"/>
        <scheme val="minor"/>
      </rPr>
      <t>2</t>
    </r>
    <r>
      <rPr>
        <sz val="9"/>
        <color theme="1"/>
        <rFont val="Calibri"/>
        <family val="2"/>
        <scheme val="minor"/>
      </rPr>
      <t>e) and include scope 1 and scope 2 emissions of financed activities converted to tonnes of CO</t>
    </r>
    <r>
      <rPr>
        <vertAlign val="subscript"/>
        <sz val="9"/>
        <color theme="1"/>
        <rFont val="Calibri"/>
        <family val="2"/>
        <scheme val="minor"/>
      </rPr>
      <t>2</t>
    </r>
    <r>
      <rPr>
        <sz val="9"/>
        <color theme="1"/>
        <rFont val="Calibri"/>
        <family val="2"/>
        <scheme val="minor"/>
      </rPr>
      <t>e in line with the GHG protocol. The total emissions are expressed in tonnes of CO2e while the CO</t>
    </r>
    <r>
      <rPr>
        <vertAlign val="subscript"/>
        <sz val="9"/>
        <color theme="1"/>
        <rFont val="Calibri"/>
        <family val="2"/>
        <scheme val="minor"/>
      </rPr>
      <t>2</t>
    </r>
    <r>
      <rPr>
        <sz val="9"/>
        <color theme="1"/>
        <rFont val="Calibri"/>
        <family val="2"/>
        <scheme val="minor"/>
      </rPr>
      <t>e footprint is expressed in tonnes of CO</t>
    </r>
    <r>
      <rPr>
        <vertAlign val="subscript"/>
        <sz val="9"/>
        <color theme="1"/>
        <rFont val="Calibri"/>
        <family val="2"/>
        <scheme val="minor"/>
      </rPr>
      <t>2</t>
    </r>
    <r>
      <rPr>
        <sz val="9"/>
        <color theme="1"/>
        <rFont val="Calibri"/>
        <family val="2"/>
        <scheme val="minor"/>
      </rPr>
      <t>e/financed DKK million.</t>
    </r>
  </si>
  <si>
    <r>
      <t>Housing loans, group, CO</t>
    </r>
    <r>
      <rPr>
        <b/>
        <vertAlign val="subscript"/>
        <sz val="9"/>
        <color rgb="FF000000"/>
        <rFont val="Calibri"/>
        <family val="2"/>
      </rPr>
      <t>2</t>
    </r>
    <r>
      <rPr>
        <b/>
        <sz val="9"/>
        <color rgb="FF000000"/>
        <rFont val="Calibri"/>
        <family val="2"/>
      </rPr>
      <t>e emissions 2023</t>
    </r>
  </si>
  <si>
    <t>Type of housing</t>
  </si>
  <si>
    <t>Coverage 
(% specific data)</t>
  </si>
  <si>
    <t>Coverage
(% statistical data)</t>
  </si>
  <si>
    <r>
      <t>CO</t>
    </r>
    <r>
      <rPr>
        <b/>
        <vertAlign val="subscript"/>
        <sz val="9"/>
        <color theme="1"/>
        <rFont val="Calibri"/>
        <family val="2"/>
        <scheme val="minor"/>
      </rPr>
      <t>2</t>
    </r>
    <r>
      <rPr>
        <b/>
        <sz val="9"/>
        <color theme="1"/>
        <rFont val="Calibri"/>
        <family val="2"/>
        <scheme val="minor"/>
      </rPr>
      <t>e emissions 
(Tonnes CO</t>
    </r>
    <r>
      <rPr>
        <b/>
        <vertAlign val="subscript"/>
        <sz val="9"/>
        <color theme="1"/>
        <rFont val="Calibri"/>
        <family val="2"/>
        <scheme val="minor"/>
      </rPr>
      <t>2</t>
    </r>
    <r>
      <rPr>
        <b/>
        <sz val="9"/>
        <color theme="1"/>
        <rFont val="Calibri"/>
        <family val="2"/>
        <scheme val="minor"/>
      </rPr>
      <t>e)</t>
    </r>
  </si>
  <si>
    <r>
      <t>CO</t>
    </r>
    <r>
      <rPr>
        <b/>
        <vertAlign val="subscript"/>
        <sz val="9"/>
        <color theme="1"/>
        <rFont val="Calibri"/>
        <family val="2"/>
        <scheme val="minor"/>
      </rPr>
      <t>2</t>
    </r>
    <r>
      <rPr>
        <b/>
        <sz val="9"/>
        <color theme="1"/>
        <rFont val="Calibri"/>
        <family val="2"/>
        <scheme val="minor"/>
      </rPr>
      <t>e footprint
(Tonnes CO</t>
    </r>
    <r>
      <rPr>
        <b/>
        <vertAlign val="subscript"/>
        <sz val="9"/>
        <color theme="1"/>
        <rFont val="Calibri"/>
        <family val="2"/>
        <scheme val="minor"/>
      </rPr>
      <t>2</t>
    </r>
    <r>
      <rPr>
        <b/>
        <sz val="9"/>
        <color theme="1"/>
        <rFont val="Calibri"/>
        <family val="2"/>
        <scheme val="minor"/>
      </rPr>
      <t xml:space="preserve">e/DKK million) </t>
    </r>
  </si>
  <si>
    <r>
      <t>CO</t>
    </r>
    <r>
      <rPr>
        <b/>
        <vertAlign val="subscript"/>
        <sz val="9"/>
        <color theme="1"/>
        <rFont val="Calibri"/>
        <family val="2"/>
        <scheme val="minor"/>
      </rPr>
      <t>2</t>
    </r>
    <r>
      <rPr>
        <b/>
        <sz val="9"/>
        <color theme="1"/>
        <rFont val="Calibri"/>
        <family val="2"/>
        <scheme val="minor"/>
      </rPr>
      <t>e emissions
LTV scaled (Tonnes CO</t>
    </r>
    <r>
      <rPr>
        <b/>
        <vertAlign val="subscript"/>
        <sz val="9"/>
        <color theme="1"/>
        <rFont val="Calibri"/>
        <family val="2"/>
        <scheme val="minor"/>
      </rPr>
      <t>2</t>
    </r>
    <r>
      <rPr>
        <b/>
        <sz val="9"/>
        <color theme="1"/>
        <rFont val="Calibri"/>
        <family val="2"/>
        <scheme val="minor"/>
      </rPr>
      <t xml:space="preserve">e) </t>
    </r>
  </si>
  <si>
    <r>
      <t>Proportion of CO</t>
    </r>
    <r>
      <rPr>
        <b/>
        <vertAlign val="subscript"/>
        <sz val="9"/>
        <color theme="1"/>
        <rFont val="Calibri"/>
        <family val="2"/>
        <scheme val="minor"/>
      </rPr>
      <t>2</t>
    </r>
    <r>
      <rPr>
        <b/>
        <sz val="9"/>
        <color theme="1"/>
        <rFont val="Calibri"/>
        <family val="2"/>
        <scheme val="minor"/>
      </rPr>
      <t xml:space="preserve">e which is
LTV scaled (%) </t>
    </r>
  </si>
  <si>
    <r>
      <t>CO</t>
    </r>
    <r>
      <rPr>
        <b/>
        <vertAlign val="subscript"/>
        <sz val="9"/>
        <color theme="1"/>
        <rFont val="Calibri"/>
        <family val="2"/>
        <scheme val="minor"/>
      </rPr>
      <t>2</t>
    </r>
    <r>
      <rPr>
        <b/>
        <sz val="9"/>
        <color theme="1"/>
        <rFont val="Calibri"/>
        <family val="2"/>
        <scheme val="minor"/>
      </rPr>
      <t>e footprint 
LTV scaled (Tonnes CO</t>
    </r>
    <r>
      <rPr>
        <b/>
        <vertAlign val="subscript"/>
        <sz val="9"/>
        <color theme="1"/>
        <rFont val="Calibri"/>
        <family val="2"/>
        <scheme val="minor"/>
      </rPr>
      <t>2</t>
    </r>
    <r>
      <rPr>
        <b/>
        <sz val="9"/>
        <color theme="1"/>
        <rFont val="Calibri"/>
        <family val="2"/>
        <scheme val="minor"/>
      </rPr>
      <t xml:space="preserve">e/DKK million) </t>
    </r>
  </si>
  <si>
    <t xml:space="preserve">Total </t>
  </si>
  <si>
    <t>Detached houses</t>
  </si>
  <si>
    <t>Agricultural properties</t>
  </si>
  <si>
    <t>Owner-occupied flats</t>
  </si>
  <si>
    <t>Cooperative housing</t>
  </si>
  <si>
    <t>Holiday homes</t>
  </si>
  <si>
    <t>Allotment huts</t>
  </si>
  <si>
    <t>Rental properties</t>
  </si>
  <si>
    <t>Other types of properties</t>
  </si>
  <si>
    <r>
      <rPr>
        <b/>
        <sz val="9"/>
        <color theme="1"/>
        <rFont val="Calibri"/>
        <family val="2"/>
        <scheme val="minor"/>
      </rPr>
      <t xml:space="preserve">Methodology and data sources:  </t>
    </r>
    <r>
      <rPr>
        <sz val="9"/>
        <color theme="1"/>
        <rFont val="Calibri"/>
        <family val="2"/>
        <scheme val="minor"/>
      </rPr>
      <t xml:space="preserve">
The business activities for the calculations are specified at year-end and comprise all housing loans secured via real estate on the balance sheets of Arbejdernes Landsbank and Vestjysk Bank, respectively. Thus, mortgage loans in Totalkredit are not included in the calculations, cf. Finance Denmark’s model and reporting principles. 
CO</t>
    </r>
    <r>
      <rPr>
        <vertAlign val="subscript"/>
        <sz val="9"/>
        <color theme="1"/>
        <rFont val="Calibri"/>
        <family val="2"/>
        <scheme val="minor"/>
      </rPr>
      <t>2</t>
    </r>
    <r>
      <rPr>
        <sz val="9"/>
        <color theme="1"/>
        <rFont val="Calibri"/>
        <family val="2"/>
        <scheme val="minor"/>
      </rPr>
      <t>e data was received from Nykredit/Totalkredit, which has estimated emissions data based on the buildings’ energy labelling if such data is available. The energy labels included in the dataset were retrieved in early December 2022 from the Danish Energy Agency. For flats, emissions data is estimated based on the building’s energy label, and CO</t>
    </r>
    <r>
      <rPr>
        <vertAlign val="subscript"/>
        <sz val="9"/>
        <color theme="1"/>
        <rFont val="Calibri"/>
        <family val="2"/>
        <scheme val="minor"/>
      </rPr>
      <t>2</t>
    </r>
    <r>
      <rPr>
        <sz val="9"/>
        <color theme="1"/>
        <rFont val="Calibri"/>
        <family val="2"/>
        <scheme val="minor"/>
      </rPr>
      <t>e is attributed to the flat according to the individual dwelling’s share of the building’s total area. If the building has no energy label, the estimate is based on other knowledge about the individual property (energy source, age of the building, size, location). The data set from Nykredit/Totalkredit is used for approximately 90 per cent of the bank’s housing portfolio. For the remaining approximately 10 per cent of the bank’s portfolio where the dataset does not match the bank’s records, we have used a CO</t>
    </r>
    <r>
      <rPr>
        <vertAlign val="subscript"/>
        <sz val="9"/>
        <color theme="1"/>
        <rFont val="Calibri"/>
        <family val="2"/>
        <scheme val="minor"/>
      </rPr>
      <t>2</t>
    </r>
    <r>
      <rPr>
        <sz val="9"/>
        <color theme="1"/>
        <rFont val="Calibri"/>
        <family val="2"/>
        <scheme val="minor"/>
      </rPr>
      <t xml:space="preserve">e emission figure for an average detached house. 
The energy label is usually only updated when the property is sold. In addition, the energy label is based on a standardised, calculated consumption which provides some data about the quality of the building - but not how it is used, for example, whether the individual homeowner saves on heating or keeps the windows open while the heat is also on. By its very nature, the energy label cannot capture the specific consumption or changes in consumption in the individual home, and this makes it difficult to accurately measure the reduction in CO2e emissions for an individual home. Therefore, the figure should be viewed as an estimate. The data quality of the individual data can be found in the table at the bottom of this tab. </t>
    </r>
  </si>
  <si>
    <r>
      <t>Car financing, group, CO</t>
    </r>
    <r>
      <rPr>
        <b/>
        <vertAlign val="subscript"/>
        <sz val="9"/>
        <color rgb="FF000000"/>
        <rFont val="Calibri"/>
        <family val="2"/>
      </rPr>
      <t>2</t>
    </r>
    <r>
      <rPr>
        <b/>
        <sz val="9"/>
        <color rgb="FF000000"/>
        <rFont val="Calibri"/>
        <family val="2"/>
      </rPr>
      <t>e emissions 2023</t>
    </r>
  </si>
  <si>
    <t>Type of car</t>
  </si>
  <si>
    <r>
      <t>CO</t>
    </r>
    <r>
      <rPr>
        <b/>
        <vertAlign val="subscript"/>
        <sz val="9"/>
        <color theme="1"/>
        <rFont val="Calibri"/>
        <family val="2"/>
        <scheme val="minor"/>
      </rPr>
      <t>2</t>
    </r>
    <r>
      <rPr>
        <b/>
        <sz val="9"/>
        <color theme="1"/>
        <rFont val="Calibri"/>
        <family val="2"/>
        <scheme val="minor"/>
      </rPr>
      <t>e emissions 
LTV scaled 
(Tonnes CO</t>
    </r>
    <r>
      <rPr>
        <b/>
        <vertAlign val="subscript"/>
        <sz val="9"/>
        <color theme="1"/>
        <rFont val="Calibri"/>
        <family val="2"/>
        <scheme val="minor"/>
      </rPr>
      <t>2</t>
    </r>
    <r>
      <rPr>
        <b/>
        <sz val="9"/>
        <color theme="1"/>
        <rFont val="Calibri"/>
        <family val="2"/>
        <scheme val="minor"/>
      </rPr>
      <t>e)</t>
    </r>
  </si>
  <si>
    <t>Arbejderens Landsbank</t>
  </si>
  <si>
    <t>Petrol &lt;0.8 litres</t>
  </si>
  <si>
    <t>Petrol 0.8-1.4 litres</t>
  </si>
  <si>
    <t>Petrol 1.4-2.0 litres</t>
  </si>
  <si>
    <t>Petrol &gt;2.0 litres</t>
  </si>
  <si>
    <t>Diesel &lt;0.8 litres</t>
  </si>
  <si>
    <t>Diesel 0.8-1.4 litres</t>
  </si>
  <si>
    <t>Diesel 1.4-2.0 litres</t>
  </si>
  <si>
    <t>Diesel &gt;2.0 litres</t>
  </si>
  <si>
    <t>Electric cars</t>
  </si>
  <si>
    <t>Hybrid cars</t>
  </si>
  <si>
    <t xml:space="preserve">CAR LOANS </t>
  </si>
  <si>
    <t xml:space="preserve">LEASING (without LTV weighting, cf. the FIDA model) </t>
  </si>
  <si>
    <t xml:space="preserve">                                                                       -  </t>
  </si>
  <si>
    <r>
      <rPr>
        <b/>
        <sz val="9"/>
        <color theme="1"/>
        <rFont val="Calibri"/>
        <family val="2"/>
        <scheme val="minor"/>
      </rPr>
      <t xml:space="preserve">Methodology and data sources:  </t>
    </r>
    <r>
      <rPr>
        <sz val="9"/>
        <color theme="1"/>
        <rFont val="Calibri"/>
        <family val="2"/>
        <scheme val="minor"/>
      </rPr>
      <t xml:space="preserve">
The business activities for the calculations were specified as at 31 December 2022. Arbejderens Landsbank and Vestjysk Bank: All car loans for private customers are included in the calculations. AL Finans: Car loans and leasing to private customers are included in the calculations and the business activity is stated as loans before impairments. 
For our calculation of CO2e on cars and leasing, we use Finance Denmark’s CO2e model and spreadsheets from LOPI which contain three different methods for calculating CO2 emissions on cars. We use method C, which is the most detailed version of the three methods as we know the fuel type and engine size of the cars in the portfolio. The spreadsheet is internally available and contains statistical emission data based on basic data from DCE (Danish Centre for Environmental and Energy) at Aarhus University. 
By definition, statistical emissions data cannot capture the specific CO2e emissions of individual cars, as particularly low or high mileage among individual car owners cannot be captured in the average. Statistics also cannot capture how much of a plug-in hybrid car’s driving is done using electricity or petrol. The statement should thus be viewed as an estimate that provides a good and accurate overview of the car portfolios’ total greenhouse gas emissions - and we can also measure a change in emissions as more customers replace petrol and diesel cars with electric cars and plug-in hybrid cars. 
The LTV calculation from Finance Denmark is applied to AL Finans’ portfolio. The average LTV from AL Finans for the individual car types/engine sizes was then applied to Vestjysk Bank’s portfolio and for the part of Arbejdernes Landsbank’s portfolio where the bank does not have security in the car, this was also applied.</t>
    </r>
  </si>
  <si>
    <r>
      <t>Business financing, group, CO</t>
    </r>
    <r>
      <rPr>
        <b/>
        <vertAlign val="subscript"/>
        <sz val="9"/>
        <color rgb="FF000000"/>
        <rFont val="Calibri"/>
        <family val="2"/>
      </rPr>
      <t>2</t>
    </r>
    <r>
      <rPr>
        <b/>
        <sz val="9"/>
        <color rgb="FF000000"/>
        <rFont val="Calibri"/>
        <family val="2"/>
      </rPr>
      <t>e emissions 2023</t>
    </r>
  </si>
  <si>
    <t>Industry</t>
  </si>
  <si>
    <t>Balance sheet 
(DKK million)</t>
  </si>
  <si>
    <t>Balance sheet, distribution</t>
  </si>
  <si>
    <r>
      <t>CO</t>
    </r>
    <r>
      <rPr>
        <b/>
        <vertAlign val="subscript"/>
        <sz val="9"/>
        <color theme="1"/>
        <rFont val="Calibri"/>
        <family val="2"/>
        <scheme val="minor"/>
      </rPr>
      <t>2</t>
    </r>
    <r>
      <rPr>
        <b/>
        <sz val="9"/>
        <color theme="1"/>
        <rFont val="Calibri"/>
        <family val="2"/>
        <scheme val="minor"/>
      </rPr>
      <t>e, distribution 
LTV scaled</t>
    </r>
  </si>
  <si>
    <t>Agriculture, hunting, forestry and fishing</t>
  </si>
  <si>
    <t>Industry and raw material extraction</t>
  </si>
  <si>
    <t>Energy supply</t>
  </si>
  <si>
    <t>Building and construction</t>
  </si>
  <si>
    <t>Commerce</t>
  </si>
  <si>
    <t>Transport, hotels and restaurants</t>
  </si>
  <si>
    <t>Real estate</t>
  </si>
  <si>
    <t>Other business areas</t>
  </si>
  <si>
    <r>
      <rPr>
        <b/>
        <sz val="9"/>
        <color theme="1"/>
        <rFont val="Calibri"/>
        <family val="2"/>
        <scheme val="minor"/>
      </rPr>
      <t xml:space="preserve">Methodology and data sources: </t>
    </r>
    <r>
      <rPr>
        <sz val="9"/>
        <color theme="1"/>
        <rFont val="Calibri"/>
        <family val="2"/>
        <scheme val="minor"/>
      </rPr>
      <t xml:space="preserve"> 
The value of the bank’s exposures is calculated at year-end. All business loans are included in the calculations. Receivables from credit institutions and national banks are not included in the calculation. 
In principle, the calculation of financed emissions for business customers can only be calculated when company-specific data is available. However, company-specific information on CO</t>
    </r>
    <r>
      <rPr>
        <vertAlign val="subscript"/>
        <sz val="9"/>
        <color theme="1"/>
        <rFont val="Calibri"/>
        <family val="2"/>
        <scheme val="minor"/>
      </rPr>
      <t>2</t>
    </r>
    <r>
      <rPr>
        <sz val="9"/>
        <color theme="1"/>
        <rFont val="Calibri"/>
        <family val="2"/>
        <scheme val="minor"/>
      </rPr>
      <t>e emissions is scarce, especially from small and medium-sized enterprises, which make up the group’s entire business customer portfolio. In 2022, we have therefore taken a best-effort approach based on LOPI’s calculation methodology for calculating CO</t>
    </r>
    <r>
      <rPr>
        <vertAlign val="subscript"/>
        <sz val="9"/>
        <color theme="1"/>
        <rFont val="Calibri"/>
        <family val="2"/>
        <scheme val="minor"/>
      </rPr>
      <t>2</t>
    </r>
    <r>
      <rPr>
        <sz val="9"/>
        <color theme="1"/>
        <rFont val="Calibri"/>
        <family val="2"/>
        <scheme val="minor"/>
      </rPr>
      <t>e emissions from business financing. We have collected statistical emission data from Statistics Denmark and aggregated data based on the Danish Financial Supervisory Authority’s industry breakdown. This mapping has been possible in 2022 in relation to the standard grouping 36 - to make it easier to get an overview, we have aggregated data on 10 industries in the above overview. Statistics Denmark’s industry averages only include the industries’ scope 1 and scope 2 emissions. Thus, the calculations do not take into account companies’ scope 3 emissions, which for some companies can account for the vast majority of their greenhouse gas emissions. 
A CO</t>
    </r>
    <r>
      <rPr>
        <vertAlign val="subscript"/>
        <sz val="9"/>
        <color theme="1"/>
        <rFont val="Calibri"/>
        <family val="2"/>
        <scheme val="minor"/>
      </rPr>
      <t>2</t>
    </r>
    <r>
      <rPr>
        <sz val="9"/>
        <color theme="1"/>
        <rFont val="Calibri"/>
        <family val="2"/>
        <scheme val="minor"/>
      </rPr>
      <t>e average for an entire industry cannot, by definition, capture the climate efforts of early adopters among the bank’s business customers as improvements will only begin to be captured in the industry average after they have reached widespread adoption across the industry. Therefore, the figure should be viewed as an estimate. For the same reason, we prefer company-specific CO</t>
    </r>
    <r>
      <rPr>
        <vertAlign val="subscript"/>
        <sz val="9"/>
        <color theme="1"/>
        <rFont val="Calibri"/>
        <family val="2"/>
        <scheme val="minor"/>
      </rPr>
      <t>2</t>
    </r>
    <r>
      <rPr>
        <sz val="9"/>
        <color theme="1"/>
        <rFont val="Calibri"/>
        <family val="2"/>
        <scheme val="minor"/>
      </rPr>
      <t xml:space="preserve">e data and are working on replacing sector averages with company-specific CO2e data. </t>
    </r>
  </si>
  <si>
    <r>
      <t>Investments, group, CO</t>
    </r>
    <r>
      <rPr>
        <b/>
        <vertAlign val="subscript"/>
        <sz val="9"/>
        <color rgb="FF000000"/>
        <rFont val="Calibri"/>
        <family val="2"/>
      </rPr>
      <t>2</t>
    </r>
    <r>
      <rPr>
        <b/>
        <sz val="9"/>
        <color rgb="FF000000"/>
        <rFont val="Calibri"/>
        <family val="2"/>
      </rPr>
      <t>e emissions 2023</t>
    </r>
  </si>
  <si>
    <t xml:space="preserve"> Market value (DKK) </t>
  </si>
  <si>
    <t>Share with reported/externally estimated data</t>
  </si>
  <si>
    <t>CO2e emissions - “Scope 1” (tonnes)</t>
  </si>
  <si>
    <t>CO2e emissions - “Scope 2” (tonnes)</t>
  </si>
  <si>
    <t>CO2e emissions "Total" scope 1/scope 2 (tonnes)</t>
  </si>
  <si>
    <t>CO2e footprint (tonnes CO2e/DKK million) Corrected for lack of data coverage</t>
  </si>
  <si>
    <t>Total weighted data quality</t>
  </si>
  <si>
    <t>Key figures for all portfolios - total</t>
  </si>
  <si>
    <t>Key figures for total portfolio</t>
  </si>
  <si>
    <t>Share portfolio</t>
  </si>
  <si>
    <t>Corporate bonds portfolio</t>
  </si>
  <si>
    <t>Covered bonds/mortgage bonds portfolio</t>
  </si>
  <si>
    <t>Ship credit portfolio</t>
  </si>
  <si>
    <t>Unclassified portfolio</t>
  </si>
  <si>
    <t xml:space="preserve"> - of which in cash</t>
  </si>
  <si>
    <t xml:space="preserve"> - of which in government and supranational bonds.</t>
  </si>
  <si>
    <t>Investment fund certificate portfolio</t>
  </si>
  <si>
    <t xml:space="preserve"> - of which own portfolio</t>
  </si>
  <si>
    <t xml:space="preserve"> - of which pooled funds</t>
  </si>
  <si>
    <t xml:space="preserve"> - of which portfolio management mandates</t>
  </si>
  <si>
    <t>Investments, Arbejdernes Landsbank, CO2e emissions 2023</t>
  </si>
  <si>
    <t>Investments, Vestjysk Bank, CO2e emissions 2023</t>
  </si>
  <si>
    <r>
      <rPr>
        <b/>
        <sz val="9"/>
        <color rgb="FF000000"/>
        <rFont val="Calibri"/>
        <family val="2"/>
      </rPr>
      <t xml:space="preserve">Development and methodology: </t>
    </r>
    <r>
      <rPr>
        <sz val="9"/>
        <color rgb="FF000000"/>
        <rFont val="Calibri"/>
        <family val="2"/>
      </rPr>
      <t xml:space="preserve"> 
The business activities used for the calculations are based on portfolios and market values as at the end of December 2023. CO2e data applies to investments on behalf of customers as well as investments of own portfolio. Investments on behalf of customers include the group’s range of investment products, individual discretionary mandates (power of attorney agreements) and pooled products. Thus, investments managed independently by customers are not included. The own portfolio comprises the total portfolio managed by the group, excluding the group’s trading portfolios and Arbejdernes Landsbank’s ownership stakes in Vestjysk Bank.
The group uses data from the MSCI (Morgan Stanley Capital International) ESG manager to calculate CO2e emissions for investments. For Danish mortgage credit, CO2e calculations from the credit unions are used.
As shown in the table, the group (Arbejdernes Landsbank and Vestjysk Bank) emits a total of 4.7 tonnes CO2e per invested DKK million (scope 1 and scope 2) for the year 2023 through the total investments. This is based on a portfolio of DKK 73 bn., of which 89 per cent of the portfolio has data coverage. The weighted data quality is 3.7 on the recommended scale of 1 to 5 (PCAF’s global standard, where 1 is the highest data quality score and 5 is the lowest).
There has been a downward trend for CO2e per million invested in the statement of emissions from 2022 to 2023. When interpreting this trend, the following should be taken into account:
- Some companies have and are implementing CO2e reduction plans.
- Companies’ market values, credit ratings and interest rates change from year to year. Thus, CO2e per million invested through shares may have increased in a company that emits exactly the same CO2e during the period simply because the market value (which is the denominator in the calculation) has decreased. Similarly, CO2 per million invested in a bond can increase simply due to a change in interest rates. 
- CO2e figures are available for more companies than before and companies may have improved their methods for calculating CO2e in the past year. This may result in the company counting CO2 emissions in 2023 that it did not count in 2022, and thus due to the calculation method alone, the company will have a higher figure for CO2e emissions.
- The bank takes CO2e into account when making investments and is continuously working to improve the handling of CO2e data in investment decisions through both forward-looking and backward-looking indicators. The same is done among the bank’s investment partners.
- Portfolios are continuously adjusted due to factors such as return and risk. Thus, the portfolios of 2021 and 2022 are not fully comparable.
- For example, the bank’s asset management team may choose to move funds from a company in the IT industry to a transport company because the latter is more efficient in its climate efforts. This move will contribute to the bank’s CO2e emissions increasing from 2022 to 2023, as transport companies generally have much higher CO2e emissions than IT companies. 
The following should also be taken into account when reading the figures for 2023:
- There is still a lack of reliable data on CO2e emissions in ship credit, which is unfortunate, especially since the bank expects a relatively high figure for CO2e per DKK million invested.
- For Arbejdernes Landsbank’s own portfolio, there is very low data coverage for shares which are mainly unlisted shares.
- For investment fund certificates, the bank uses CO2e data that the bank’s data provider has already calculated across funds. This means that the bank cannot allocate investment fund certificates to asset classes such as shares and bonds.
- For the calculation of CO2e emissions, the bank has used the common principles for measuring and calculating financed CO2e from investments developed by the Danish banking industry organisation Finance Denmark (FIDA). Finance Denmark’s model is again based on the international model Partnership for Carbon Accounting Financials (PCAF).
- The bank calculates CO2e based on investments in thousands of companies. CO2e figures are sourced from a data provider. The bank does not have the ability to verify the accuracy of each company’s CO2e figures.
- Portfolio data is taken from the end of December 2023 and combined with the latest available CO2e figures from the companies.
- The bank does not include scope 3 CO2e data, as it is the bank’s assessment that calculation methods between companies are too different and because some companies do not have scope 3 data available at all. The bank expects the data quality for scope 3 CO2e emissions to improve in the foreseeable future so that scope 3 data can be included in the calculation.
- The figures for CO2e refer to greenhouse gases in total, meaning that other types of emissions - such as methane - are converted to CO2 equivalents.
</t>
    </r>
  </si>
  <si>
    <r>
      <t>The group’s own CO</t>
    </r>
    <r>
      <rPr>
        <b/>
        <vertAlign val="subscript"/>
        <sz val="9"/>
        <color rgb="FF000000"/>
        <rFont val="Calibri"/>
        <family val="2"/>
        <charset val="1"/>
      </rPr>
      <t>2</t>
    </r>
    <r>
      <rPr>
        <b/>
        <sz val="9"/>
        <color rgb="FF000000"/>
        <rFont val="Calibri"/>
        <family val="2"/>
        <charset val="1"/>
      </rPr>
      <t>e emissions (internal operations)</t>
    </r>
  </si>
  <si>
    <r>
      <t>Direct CO</t>
    </r>
    <r>
      <rPr>
        <b/>
        <vertAlign val="subscript"/>
        <sz val="9"/>
        <color rgb="FF000000"/>
        <rFont val="Calibri"/>
        <family val="2"/>
        <charset val="1"/>
      </rPr>
      <t>2</t>
    </r>
    <r>
      <rPr>
        <b/>
        <sz val="9"/>
        <color rgb="FF000000"/>
        <rFont val="Calibri"/>
        <family val="2"/>
        <charset val="1"/>
      </rPr>
      <t>e consumption (Scope 1)</t>
    </r>
  </si>
  <si>
    <r>
      <t>Tonnes CO</t>
    </r>
    <r>
      <rPr>
        <b/>
        <vertAlign val="subscript"/>
        <sz val="9"/>
        <color rgb="FF000000"/>
        <rFont val="Calibri"/>
        <family val="2"/>
        <charset val="1"/>
      </rPr>
      <t>2</t>
    </r>
    <r>
      <rPr>
        <b/>
        <sz val="9"/>
        <color rgb="FF000000"/>
        <rFont val="Calibri"/>
        <family val="2"/>
        <charset val="1"/>
      </rPr>
      <t>e</t>
    </r>
  </si>
  <si>
    <r>
      <t>Tonnes CO</t>
    </r>
    <r>
      <rPr>
        <vertAlign val="subscript"/>
        <sz val="9"/>
        <color rgb="FF000000"/>
        <rFont val="Calibri"/>
        <family val="2"/>
        <charset val="1"/>
      </rPr>
      <t>2</t>
    </r>
    <r>
      <rPr>
        <sz val="9"/>
        <color rgb="FF000000"/>
        <rFont val="Calibri"/>
        <family val="2"/>
        <charset val="1"/>
      </rPr>
      <t>e</t>
    </r>
  </si>
  <si>
    <t>Scope 2 Market-based (indirect emissions)</t>
  </si>
  <si>
    <t>Scope 2 Location-based (indirect emissions)</t>
  </si>
  <si>
    <t>Other indirect impacts (scope 3)</t>
  </si>
  <si>
    <t>Procurement of products and services</t>
  </si>
  <si>
    <r>
      <t xml:space="preserve"> - </t>
    </r>
    <r>
      <rPr>
        <sz val="9"/>
        <color rgb="FF000000"/>
        <rFont val="Calibri"/>
        <family val="2"/>
      </rPr>
      <t>of which IT products</t>
    </r>
  </si>
  <si>
    <t xml:space="preserve"> - of which office supplies</t>
  </si>
  <si>
    <r>
      <t xml:space="preserve"> </t>
    </r>
    <r>
      <rPr>
        <sz val="9"/>
        <color rgb="FF000000"/>
        <rFont val="Calibri"/>
        <family val="2"/>
      </rPr>
      <t>- of which fixtures &amp; equipment</t>
    </r>
  </si>
  <si>
    <r>
      <t xml:space="preserve"> </t>
    </r>
    <r>
      <rPr>
        <sz val="9"/>
        <color rgb="FF000000"/>
        <rFont val="Calibri"/>
        <family val="2"/>
      </rPr>
      <t>- of which cleaning</t>
    </r>
  </si>
  <si>
    <t xml:space="preserve"> - of which IT services/software</t>
  </si>
  <si>
    <t xml:space="preserve"> - of which renovation &amp; construction</t>
  </si>
  <si>
    <t xml:space="preserve"> - of which canteen operations</t>
  </si>
  <si>
    <t>Resource management</t>
  </si>
  <si>
    <t>Public transport &amp; flights</t>
  </si>
  <si>
    <t>Private driving during working hours</t>
  </si>
  <si>
    <r>
      <t>CO</t>
    </r>
    <r>
      <rPr>
        <b/>
        <vertAlign val="subscript"/>
        <sz val="9"/>
        <color rgb="FF000000"/>
        <rFont val="Calibri"/>
        <family val="2"/>
        <charset val="1"/>
      </rPr>
      <t>2</t>
    </r>
    <r>
      <rPr>
        <b/>
        <sz val="9"/>
        <color rgb="FF000000"/>
        <rFont val="Calibri"/>
        <family val="2"/>
        <charset val="1"/>
      </rPr>
      <t>e emissions per employee (Market-based)</t>
    </r>
  </si>
  <si>
    <r>
      <t>Tonnes CO</t>
    </r>
    <r>
      <rPr>
        <b/>
        <vertAlign val="subscript"/>
        <sz val="9"/>
        <color rgb="FF000000"/>
        <rFont val="Calibri"/>
        <family val="2"/>
        <charset val="1"/>
      </rPr>
      <t>2</t>
    </r>
    <r>
      <rPr>
        <b/>
        <sz val="9"/>
        <color rgb="FF000000"/>
        <rFont val="Calibri"/>
        <family val="2"/>
        <charset val="1"/>
      </rPr>
      <t>e/FTE</t>
    </r>
  </si>
  <si>
    <r>
      <t>Arbejdernes Landsbank's CO</t>
    </r>
    <r>
      <rPr>
        <b/>
        <vertAlign val="subscript"/>
        <sz val="9"/>
        <rFont val="Calibri"/>
        <family val="2"/>
      </rPr>
      <t>2</t>
    </r>
    <r>
      <rPr>
        <b/>
        <sz val="9"/>
        <rFont val="Calibri"/>
        <family val="2"/>
      </rPr>
      <t>e emissions for internal operations</t>
    </r>
  </si>
  <si>
    <r>
      <t>AL Finans, CO</t>
    </r>
    <r>
      <rPr>
        <b/>
        <vertAlign val="subscript"/>
        <sz val="9"/>
        <rFont val="Calibri"/>
        <family val="2"/>
      </rPr>
      <t>2</t>
    </r>
    <r>
      <rPr>
        <b/>
        <sz val="9"/>
        <rFont val="Calibri"/>
        <family val="2"/>
      </rPr>
      <t>e emissions for internal operations</t>
    </r>
  </si>
  <si>
    <r>
      <t>Vestjysk Bank’s CO</t>
    </r>
    <r>
      <rPr>
        <b/>
        <vertAlign val="subscript"/>
        <sz val="9"/>
        <rFont val="Calibri"/>
        <family val="2"/>
      </rPr>
      <t>2</t>
    </r>
    <r>
      <rPr>
        <b/>
        <sz val="9"/>
        <rFont val="Calibri"/>
        <family val="2"/>
      </rPr>
      <t>e emissions for internal operations</t>
    </r>
  </si>
  <si>
    <t>Category GHG protocol</t>
  </si>
  <si>
    <t>Data level</t>
  </si>
  <si>
    <t xml:space="preserve">Latest Data Source </t>
  </si>
  <si>
    <t>Boundary</t>
  </si>
  <si>
    <t>Methodology</t>
  </si>
  <si>
    <t>Market-based</t>
  </si>
  <si>
    <t>Location-based</t>
  </si>
  <si>
    <r>
      <t>Total CO</t>
    </r>
    <r>
      <rPr>
        <b/>
        <vertAlign val="subscript"/>
        <sz val="9"/>
        <color rgb="FF000000"/>
        <rFont val="Calibri"/>
        <family val="2"/>
      </rPr>
      <t>2</t>
    </r>
    <r>
      <rPr>
        <b/>
        <sz val="9"/>
        <color rgb="FF000000"/>
        <rFont val="Calibri"/>
        <family val="2"/>
      </rPr>
      <t>e consumption (direct and indirect)</t>
    </r>
  </si>
  <si>
    <r>
      <t>Tonnes CO</t>
    </r>
    <r>
      <rPr>
        <b/>
        <vertAlign val="subscript"/>
        <sz val="9"/>
        <color rgb="FF000000"/>
        <rFont val="Calibri"/>
        <family val="2"/>
      </rPr>
      <t>2</t>
    </r>
    <r>
      <rPr>
        <b/>
        <sz val="9"/>
        <color rgb="FF000000"/>
        <rFont val="Calibri"/>
        <family val="2"/>
      </rPr>
      <t>e</t>
    </r>
  </si>
  <si>
    <t xml:space="preserve"> - </t>
  </si>
  <si>
    <r>
      <t>Total CO</t>
    </r>
    <r>
      <rPr>
        <b/>
        <vertAlign val="subscript"/>
        <sz val="9"/>
        <color rgb="FF000000"/>
        <rFont val="Calibri"/>
        <family val="2"/>
      </rPr>
      <t>2</t>
    </r>
    <r>
      <rPr>
        <b/>
        <sz val="9"/>
        <color rgb="FF000000"/>
        <rFont val="Calibri"/>
        <family val="2"/>
      </rPr>
      <t>e consumption
(direct and indirect)</t>
    </r>
  </si>
  <si>
    <r>
      <t>Total CO</t>
    </r>
    <r>
      <rPr>
        <vertAlign val="subscript"/>
        <sz val="9"/>
        <color rgb="FF000000"/>
        <rFont val="Calibri"/>
        <family val="2"/>
      </rPr>
      <t>2</t>
    </r>
    <r>
      <rPr>
        <sz val="9"/>
        <color rgb="FF000000"/>
        <rFont val="Calibri"/>
        <family val="2"/>
      </rPr>
      <t>e consumption per employee</t>
    </r>
  </si>
  <si>
    <t>N/A</t>
  </si>
  <si>
    <r>
      <t>Ton CO</t>
    </r>
    <r>
      <rPr>
        <vertAlign val="subscript"/>
        <sz val="9"/>
        <color rgb="FF000000"/>
        <rFont val="Calibri"/>
        <family val="2"/>
      </rPr>
      <t>2</t>
    </r>
    <r>
      <rPr>
        <sz val="9"/>
        <color rgb="FF000000"/>
        <rFont val="Calibri"/>
        <family val="2"/>
      </rPr>
      <t>e/FTE</t>
    </r>
  </si>
  <si>
    <r>
      <t>Direct CO</t>
    </r>
    <r>
      <rPr>
        <b/>
        <vertAlign val="subscript"/>
        <sz val="9"/>
        <color rgb="FF000000"/>
        <rFont val="Calibri"/>
        <family val="2"/>
      </rPr>
      <t>2</t>
    </r>
    <r>
      <rPr>
        <b/>
        <sz val="9"/>
        <color rgb="FF000000"/>
        <rFont val="Calibri"/>
        <family val="2"/>
      </rPr>
      <t>e consumption (Scope 1)</t>
    </r>
  </si>
  <si>
    <t>Company vehicles</t>
  </si>
  <si>
    <t>km</t>
  </si>
  <si>
    <r>
      <t>Tonnes CO</t>
    </r>
    <r>
      <rPr>
        <vertAlign val="subscript"/>
        <sz val="9"/>
        <color rgb="FF000000"/>
        <rFont val="Calibri"/>
        <family val="2"/>
      </rPr>
      <t>2</t>
    </r>
    <r>
      <rPr>
        <sz val="9"/>
        <color rgb="FF000000"/>
        <rFont val="Calibri"/>
        <family val="2"/>
      </rPr>
      <t>e</t>
    </r>
  </si>
  <si>
    <t xml:space="preserve"> Car manufacturer’s CO2e/km  </t>
  </si>
  <si>
    <t xml:space="preserve"> Includes all company-owned vehicles </t>
  </si>
  <si>
    <t xml:space="preserve"> The mileage on vehicles was read from 1 December to 31 November </t>
  </si>
  <si>
    <t>- Company car travel</t>
  </si>
  <si>
    <t xml:space="preserve">                                         -  </t>
  </si>
  <si>
    <t xml:space="preserve">                                       -  </t>
  </si>
  <si>
    <t xml:space="preserve">                                   -  </t>
  </si>
  <si>
    <t>- Heating - oil and gas</t>
  </si>
  <si>
    <r>
      <t>Indirect CO</t>
    </r>
    <r>
      <rPr>
        <b/>
        <vertAlign val="subscript"/>
        <sz val="9"/>
        <color rgb="FF000000"/>
        <rFont val="Calibri"/>
        <family val="2"/>
      </rPr>
      <t>2</t>
    </r>
    <r>
      <rPr>
        <b/>
        <sz val="9"/>
        <color rgb="FF000000"/>
        <rFont val="Calibri"/>
        <family val="2"/>
      </rPr>
      <t>e consumption (Scope 2)</t>
    </r>
  </si>
  <si>
    <t> Company facilities</t>
  </si>
  <si>
    <t> MWh</t>
  </si>
  <si>
    <t xml:space="preserve"> Energinet’s CO2e average for Denmark 2021 </t>
  </si>
  <si>
    <t xml:space="preserve"> The company’s direct consumption of electricity </t>
  </si>
  <si>
    <t xml:space="preserve"> Digitally read on the electricity supplier’s meter </t>
  </si>
  <si>
    <t>- Electricity consumption</t>
  </si>
  <si>
    <t xml:space="preserve">                                        -  </t>
  </si>
  <si>
    <t>Company facilities</t>
  </si>
  <si>
    <t>MWh</t>
  </si>
  <si>
    <t xml:space="preserve"> Environmental product labelling from HOFOR </t>
  </si>
  <si>
    <t xml:space="preserve"> Proportion of the company’s heat consumption that includes the square metres the company directly uses </t>
  </si>
  <si>
    <t xml:space="preserve"> The heat accounting is staggered and read either digitally or analogue, therefore the latest available account is used for calculation, see appendix  </t>
  </si>
  <si>
    <t>- Heating (district heating and natural gas)</t>
  </si>
  <si>
    <t>Purchases</t>
  </si>
  <si>
    <t>1. Purchased goods and services</t>
  </si>
  <si>
    <t>DKK/øre</t>
  </si>
  <si>
    <t xml:space="preserve"> - of which IT products </t>
  </si>
  <si>
    <t xml:space="preserve"> EXIOBASE v3.3.16b2 (for 2020 w. 2011 data) </t>
  </si>
  <si>
    <t xml:space="preserve"> Purchased products from main supplier </t>
  </si>
  <si>
    <t xml:space="preserve"> 1 December to 31 November </t>
  </si>
  <si>
    <t xml:space="preserve">IT products </t>
  </si>
  <si>
    <t xml:space="preserve">  - of which office supplies</t>
  </si>
  <si>
    <t>EXIOBASE v3.3.16b2 (for 2020 w. 2011 data)</t>
  </si>
  <si>
    <t>Purchased products from main supplier</t>
  </si>
  <si>
    <t>1 December to 31 November</t>
  </si>
  <si>
    <t>Office supplies</t>
  </si>
  <si>
    <t xml:space="preserve"> - of which fixtures &amp; equipment</t>
  </si>
  <si>
    <t>Fixtures &amp; equipment</t>
  </si>
  <si>
    <t xml:space="preserve"> - of which cleaning</t>
  </si>
  <si>
    <t xml:space="preserve"> Purchased products from main suppliers </t>
  </si>
  <si>
    <t>Cleaning</t>
  </si>
  <si>
    <t>Share of ownership (BEC)</t>
  </si>
  <si>
    <t xml:space="preserve"> BEC’s ESG dataset from last year </t>
  </si>
  <si>
    <t xml:space="preserve"> Direct partner in the data area </t>
  </si>
  <si>
    <t xml:space="preserve"> Last year’s Co2e account </t>
  </si>
  <si>
    <t>IT services/software</t>
  </si>
  <si>
    <t xml:space="preserve"> Does not include employee relocation expenses </t>
  </si>
  <si>
    <t xml:space="preserve"> Extract from renovation account </t>
  </si>
  <si>
    <t>Renovation &amp; construction</t>
  </si>
  <si>
    <t>Quantity/Kg</t>
  </si>
  <si>
    <t xml:space="preserve"> The big climate database from Concito </t>
  </si>
  <si>
    <t xml:space="preserve"> Canteen operations for employees covered by the canteen scheme  </t>
  </si>
  <si>
    <t xml:space="preserve"> Cherval Blanc delivers data extract on 1 December </t>
  </si>
  <si>
    <t>- Canteen operations</t>
  </si>
  <si>
    <t>5. Waste generated in operations</t>
  </si>
  <si>
    <t>Quantity/Tonnes</t>
  </si>
  <si>
    <t xml:space="preserve"> Uses the platform “The CO2 Calculator” - The calculation model is an input-output model adapted from Statistics Denmark’s environmental economic analysis tool as well as principles for calculations with measurement methods and CO2 inventories for process and combustion emissions in accordance with EU Directive 2003/87/EC L 229/14, 3-4.2</t>
  </si>
  <si>
    <t xml:space="preserve"> Resource management/waste management for employees in offices with more than 50 people </t>
  </si>
  <si>
    <t xml:space="preserve">Uses a staggered year with data extract on 1 December </t>
  </si>
  <si>
    <t>- Resource management</t>
  </si>
  <si>
    <t>- Public transport</t>
  </si>
  <si>
    <t>6. Business travel</t>
  </si>
  <si>
    <t xml:space="preserve"> Environmental product labelling from DSB </t>
  </si>
  <si>
    <t xml:space="preserve"> Employee transport with the bank’s Rejsekort (a Danish public transport card) </t>
  </si>
  <si>
    <t>- Public transport &amp; Flights</t>
  </si>
  <si>
    <t>- Flights</t>
  </si>
  <si>
    <t xml:space="preserve"> atmosfair.de, the VDR (German Business Travel Associations) standard </t>
  </si>
  <si>
    <t xml:space="preserve"> Includes flights by members of the Executive Board only </t>
  </si>
  <si>
    <t xml:space="preserve"> Flight bookings are collected by the Executive Board and are calculated 1/1-31/12 </t>
  </si>
  <si>
    <t>- Private driving during working hours</t>
  </si>
  <si>
    <t>The emission factors are prepared by DCE (Danish Centre for Environment and Energy) which is also responsible for the national emission factors.</t>
  </si>
  <si>
    <t xml:space="preserve"> Organised driving during working hours for HR </t>
  </si>
  <si>
    <t xml:space="preserve"> HR shares reported number of kilometres for payment to employees from 1/1-31/12 </t>
  </si>
  <si>
    <r>
      <rPr>
        <b/>
        <sz val="9"/>
        <color rgb="FF000000"/>
        <rFont val="Calibri"/>
        <family val="2"/>
      </rPr>
      <t xml:space="preserve">Methodology and data
</t>
    </r>
    <r>
      <rPr>
        <sz val="9"/>
        <color rgb="FF000000"/>
        <rFont val="Calibri"/>
        <family val="2"/>
      </rPr>
      <t>The statement of the group's own CO2e emissions is calculated based on the amount of greenhouse gas emissions from activities (CO2e) over which the group has operational control, i.e. where the group has the authority to make and implement changes. Arbejdernes Landsbank’s ownership stakes in and data from TestaViva and &amp;Money are included in the CO2e calculations on the investment side (own portfolio) and are therefore not included in the above calculation. 
The calculation for 2022 includes data from Arbejdernes Landsbank, AL Finans and Vestjysk Bank. In addition, we have included more items in the calculation of indirect greenhouse gas emissions in scope 3 as more data has become available. Therefore, total CO2e emissions cannot be compared to last year’s figures.  
- Scope 1 represents the direct greenhouse gas emissions from sources owned or controlled by the group. These include emissions from the group’s company contract vehicles and we define 100 per cent of the driving as business driving. 
- Scope 2 represents the indirect greenhouse gas emissions from the group’s consumption of electricity and heat. 
- The location-based calculation method for scope 2 emissions reflects the average emission intensity of the Danish electricity grid from where the bank’s electricity consumption is supplied. 
- The market-based calculation method reflects the emission intensity of the electricity company from which the bank purchases electricity. Arbejdernes Landsbank will be supplied with 100 per cent electricity from renewable sources. 
- Scope 3 represents other indirect greenhouse gas emissions from sources not owned or directly controlled by the group. These include third-party deliveries, travel, transport and resource management. For the first time this year, we have included purchases of IT services/software, IT products, cleaning, renovation and construction in our scope 3 calculations. We also continue to report on canteen operations, office supplies and fixtures &amp; equipment.
Correction of 2022 figure: We have become aware that an incorrect emission factor has been applied to renovation &amp; construction, which is why there has been a backwards change in the 2022 restated accounts from 9,190.93 tonnes CO2e to 1,973.06 tonnes CO2e.
The purchase of cleaning services and the calculation for 2023 shows a significant change in CO2 emissions, as the data basis for 2022 from the supplier was flawed.</t>
    </r>
  </si>
  <si>
    <t>Data quality score</t>
  </si>
  <si>
    <t>We have assessed the data quality of the financed CO2e figures based on PCAF’s data quality score and Finance Denmark’s CO2e model. Below, there is shown a weighted data score for the business activities used in the analysis.</t>
  </si>
  <si>
    <t>Data</t>
  </si>
  <si>
    <t>Score 1</t>
  </si>
  <si>
    <t>Score 2</t>
  </si>
  <si>
    <t>Score 3</t>
  </si>
  <si>
    <t>Score 4</t>
  </si>
  <si>
    <t>Score 5</t>
  </si>
  <si>
    <t>Weighted data quality score 1-5</t>
  </si>
  <si>
    <t>Car loans (AL Finans)</t>
  </si>
  <si>
    <t>Car loans (VB)</t>
  </si>
  <si>
    <t>Business loans (VB)</t>
  </si>
  <si>
    <t>Leasing (AL Finans)</t>
  </si>
  <si>
    <t>Total investments, for covered securities*</t>
  </si>
  <si>
    <t>Listed shares</t>
  </si>
  <si>
    <t>Corporate bonds</t>
  </si>
  <si>
    <t>Covered bonds / mortgage-credit bonds</t>
  </si>
  <si>
    <r>
      <t>*A large part of the listed companies have had a recognised auditor work with their ESG reporting and we can see the names of these auditors in our data provider’s notes. In some cases where our data provider does not have an auditor’s name, we can also find the auditor’s name in the company’s ESG reporting. This corresponds to step 1 of data quality, with a smaller portion at step 2 to reflect that we do not always have a clear indication of auditing. For corporate bonds issued by listed companies the picture is similar, but there is an impression that there is slightly poorer data quality for unlisted corporate bond issuers. This is reflected by a slightly lower classification as step 1 and a slightly higher classification for step 2. We see a trend towards stronger data quality in companies based in Europe and, for example, less strong data quality for companies based in Asia. For mortgage credit, our calculations are based on figures provided by Danish mortgage credit institutions across mortgage bond issues. This corresponds to step 3 on data quality, where CO</t>
    </r>
    <r>
      <rPr>
        <vertAlign val="subscript"/>
        <sz val="9"/>
        <color theme="1"/>
        <rFont val="Calibri"/>
        <family val="2"/>
        <scheme val="minor"/>
      </rPr>
      <t>2</t>
    </r>
    <r>
      <rPr>
        <sz val="9"/>
        <color theme="1"/>
        <rFont val="Calibri"/>
        <family val="2"/>
        <scheme val="minor"/>
      </rPr>
      <t>e is calculated on underlying activities based on production (in this case, typically housing). Some mortgage credit institutions have not published similar figures, and in such cases, we use industry averages. In such situations, we are at step 4 on data quality. We do not specify data quality steps for ship credit and government bonds where we do not have data.</t>
    </r>
  </si>
  <si>
    <t>Environmental accounts 2023</t>
  </si>
  <si>
    <r>
      <rPr>
        <b/>
        <sz val="9"/>
        <color theme="1"/>
        <rFont val="Calibri"/>
        <family val="2"/>
        <scheme val="minor"/>
      </rPr>
      <t>Background</t>
    </r>
    <r>
      <rPr>
        <sz val="9"/>
        <color theme="1"/>
        <rFont val="Calibri"/>
        <family val="2"/>
        <scheme val="minor"/>
      </rPr>
      <t xml:space="preserve">
Arbejdernes Landsbank wants to report on its own and AL Finans’ environmental impact every year. Reporting principles and the data basis are described below the tables. The reporting period generally covers the period 1/1 to 31/12 of the relevant reporting year. Unfortunately, not all district heating companies in Denmark have installed digital heating meters and only manually report the annual consumption in March/April. Therefore, there is a small amount of data that utilises the earliest available data (previous year). Water accounts from local district heating companies sometimes use staggered financial years and have no standard reporting period. That is why we use annual statements that cover 12 months of usage which can cover both the current year and the previous year.  </t>
    </r>
  </si>
  <si>
    <t>ARBEJDERNES LANDSBANK</t>
  </si>
  <si>
    <t>AL FINANS</t>
  </si>
  <si>
    <t>VESTJYSK BANK</t>
  </si>
  <si>
    <t>Data basis</t>
  </si>
  <si>
    <t>General data</t>
  </si>
  <si>
    <t xml:space="preserve">Area consumption </t>
  </si>
  <si>
    <r>
      <t>m</t>
    </r>
    <r>
      <rPr>
        <vertAlign val="superscript"/>
        <sz val="9"/>
        <color rgb="FF000000"/>
        <rFont val="Calibri"/>
        <family val="2"/>
      </rPr>
      <t>2</t>
    </r>
  </si>
  <si>
    <t>m2</t>
  </si>
  <si>
    <t>Branch</t>
  </si>
  <si>
    <t>Branches</t>
  </si>
  <si>
    <t>Energy</t>
  </si>
  <si>
    <t>Renewable share of electricity consumption</t>
  </si>
  <si>
    <t xml:space="preserve">
0%</t>
  </si>
  <si>
    <t>Own electricity production</t>
  </si>
  <si>
    <t xml:space="preserve">                                 -  </t>
  </si>
  <si>
    <t xml:space="preserve">                             -      </t>
  </si>
  <si>
    <t>Electricity consumption from supplier</t>
  </si>
  <si>
    <t>Total electricity consumption</t>
  </si>
  <si>
    <t>Types of heat consumption</t>
  </si>
  <si>
    <t xml:space="preserve">l. Temporary oil heater </t>
  </si>
  <si>
    <t>m3 Natural gas</t>
  </si>
  <si>
    <t>MWh District heating</t>
  </si>
  <si>
    <t>Total heat consumption</t>
  </si>
  <si>
    <t xml:space="preserve">Total energy consumption </t>
  </si>
  <si>
    <t>Electricity consumption per employee</t>
  </si>
  <si>
    <t>Electricity consumption per square metre</t>
  </si>
  <si>
    <t>kWh/m2</t>
  </si>
  <si>
    <t xml:space="preserve">Heat consumption per employee </t>
  </si>
  <si>
    <t xml:space="preserve">Heat consumption per square metre </t>
  </si>
  <si>
    <t>Energy consumption per employee</t>
  </si>
  <si>
    <t xml:space="preserve"> kWh/FTE</t>
  </si>
  <si>
    <t>Energy consumption per square metre</t>
  </si>
  <si>
    <t>Transport</t>
  </si>
  <si>
    <t>Types of cars in AL’s car fleet</t>
  </si>
  <si>
    <t xml:space="preserve">% </t>
  </si>
  <si>
    <t>Gasoline: 0%</t>
  </si>
  <si>
    <t>Gasoline: 5%</t>
  </si>
  <si>
    <t>Gasoline: 4%</t>
  </si>
  <si>
    <t>Gasoline: 12%</t>
  </si>
  <si>
    <t>Gasoline: 8%</t>
  </si>
  <si>
    <t>Gasoline: 9%</t>
  </si>
  <si>
    <t>Gasoline: %</t>
  </si>
  <si>
    <t>Types of cars in VB’s car fleet</t>
  </si>
  <si>
    <t>Diesel: 31%</t>
  </si>
  <si>
    <t>Diesel: 38%</t>
  </si>
  <si>
    <t>Diesel: 48%</t>
  </si>
  <si>
    <t>Diesel: 60%</t>
  </si>
  <si>
    <t>Diesel: 55%</t>
  </si>
  <si>
    <t>Diesel: %.</t>
  </si>
  <si>
    <t>Diesel: 30%</t>
  </si>
  <si>
    <t xml:space="preserve">Hybrid: 56% </t>
  </si>
  <si>
    <t xml:space="preserve">Hybrid: 43% </t>
  </si>
  <si>
    <t xml:space="preserve">Hybrid: 35% </t>
  </si>
  <si>
    <t xml:space="preserve">Hybrid: 28% </t>
  </si>
  <si>
    <t xml:space="preserve">Hybrid: 38% </t>
  </si>
  <si>
    <t xml:space="preserve">Hybrid: 36% </t>
  </si>
  <si>
    <t xml:space="preserve">Hybrid: %. </t>
  </si>
  <si>
    <t xml:space="preserve">Hybrid: 55% </t>
  </si>
  <si>
    <t xml:space="preserve">Hybrid: 70% </t>
  </si>
  <si>
    <t>Electric cars: 13%.</t>
  </si>
  <si>
    <t>Electric cars: 14%.</t>
  </si>
  <si>
    <t>Electric cars: 0%.</t>
  </si>
  <si>
    <t>Electric cars: 23%</t>
  </si>
  <si>
    <t>Electric cars: 0%</t>
  </si>
  <si>
    <t>Electric cars: %.</t>
  </si>
  <si>
    <t>Electric cars: 10%</t>
  </si>
  <si>
    <t>Public transport</t>
  </si>
  <si>
    <t>Flights</t>
  </si>
  <si>
    <t>Car transport</t>
  </si>
  <si>
    <t>Car transport per branch</t>
  </si>
  <si>
    <t>km/branch</t>
  </si>
  <si>
    <t>Hybrid &amp; electric cars in internal car fleet</t>
  </si>
  <si>
    <t>Shared transport (bikes, e-bikes, cars, electric cars &amp; business travel cards)</t>
  </si>
  <si>
    <t xml:space="preserve">Bikes, 5 Business cards, 0 </t>
  </si>
  <si>
    <t>Bicycles, 5 Business travel cards, 241</t>
  </si>
  <si>
    <t>Average emissions per kilometre driven in AL’s car fleet</t>
  </si>
  <si>
    <r>
      <t>grammes CO</t>
    </r>
    <r>
      <rPr>
        <vertAlign val="subscript"/>
        <sz val="9"/>
        <color rgb="FF000000"/>
        <rFont val="Calibri"/>
        <family val="2"/>
      </rPr>
      <t>2</t>
    </r>
    <r>
      <rPr>
        <sz val="9"/>
        <color rgb="FF000000"/>
        <rFont val="Calibri"/>
        <family val="2"/>
      </rPr>
      <t>e/KM</t>
    </r>
  </si>
  <si>
    <t>Food</t>
  </si>
  <si>
    <t>Food consumption</t>
  </si>
  <si>
    <t>The supplier can no longer calculate</t>
  </si>
  <si>
    <t>Meat: 7%, Dairy: 12%, Fish: 3%, Vegetables: 46%, Fruit: 4%, Processed food: 17%, other: 11%</t>
  </si>
  <si>
    <t>Meat: 9.3%, Dairy: 17%, Fish: 2.5%, Vegetables: 29.9%, Fruit: 2.9%, Processed food: 28.7%, other: 9.7%</t>
  </si>
  <si>
    <t>Climate footprint per serving</t>
  </si>
  <si>
    <r>
      <t xml:space="preserve">Kg </t>
    </r>
    <r>
      <rPr>
        <vertAlign val="subscript"/>
        <sz val="9"/>
        <color rgb="FF000000"/>
        <rFont val="Calibri"/>
        <family val="2"/>
      </rPr>
      <t>CO2e/serving</t>
    </r>
  </si>
  <si>
    <t>Tonnes</t>
  </si>
  <si>
    <t>Meat: 7%, Dairy: 10%, Fish: 2%, Vegetables: 38%, Fruit: 19% Processed food: 13%, Other: 10%</t>
  </si>
  <si>
    <t>Meat: 13.5%, Dairy: 12%, Fish: 3.2%, Vegetables: 28.6%, Fruit: 13.7%, Processed food: 22.5%, other: 6.5%</t>
  </si>
  <si>
    <t>Meat : 22.2%, Dairy: 7.1%, Fish 8.1%, Vegetables: 33.9%, Fruit: 20.2%, Processed food: 7.7%, Other: 0.9%</t>
  </si>
  <si>
    <t>Climate footprint distribution by food category</t>
  </si>
  <si>
    <t>Meat: 41.6% , Dairy: 10.6%, Fish: 8.7%, Vegetables: 12.3%, Fruit: 1.4%, Processed food: 9.1%, other: 2.05%</t>
  </si>
  <si>
    <t>Meat: 47.3%, Dairy: 12.7%, Fish: 7.4%, Vegetables: 7.3%, Fruit: 9.9%, Processed food: 13.6%, other: 1.8%</t>
  </si>
  <si>
    <t>Sorting rate</t>
  </si>
  <si>
    <t>Resources per employee</t>
  </si>
  <si>
    <t>kg/FTE</t>
  </si>
  <si>
    <t>Meat: 42.7% , Dairy: 9.2%, Fish: 8.1%, Vegetables: 10.6%, Fruit: 7%, Processed food: 7.2%, other: 1.9%</t>
  </si>
  <si>
    <t>Meat: 58.3%, Dairy: 8.4%, Fish: 8.3%, Vegetables: 6%, Fruit: 3.7%, Processed food: 9.3%, other: 6%</t>
  </si>
  <si>
    <t>Meat : 74.3%, Dairy: 9.7%, Fish: 5.5%, Vegetables: 4.4%, Fruit: 2.6%, Processed food: 3%, Other: 0.4%</t>
  </si>
  <si>
    <t>Water</t>
  </si>
  <si>
    <t>m3</t>
  </si>
  <si>
    <t>Eco-labels approved by AL</t>
  </si>
  <si>
    <t xml:space="preserve"> 65% Fixtures &amp; equipment &amp; 57.23% IT </t>
  </si>
  <si>
    <t xml:space="preserve"> 65% Fixtures &amp; equipment &amp; 46.4% IT </t>
  </si>
  <si>
    <t xml:space="preserve">93% Textiles, 62% Fixtures &amp; equipment, IT 96 </t>
  </si>
  <si>
    <t xml:space="preserve">91% Textiles, 75% Fixtures &amp; equipment, IT 97% </t>
  </si>
  <si>
    <t>Water consumption per square metre</t>
  </si>
  <si>
    <t>m3/m2</t>
  </si>
  <si>
    <t>Nordic Swan Ecolabel and EU Ecolabelled purchases</t>
  </si>
  <si>
    <t xml:space="preserve">98.1% Cleaning, 22% Fixtures &amp; equipment, 0% Printing materials &amp; 87.67% Office supplies </t>
  </si>
  <si>
    <t xml:space="preserve">98.1% Cleaning, 22% Furniture, 88.5% Printing materials &amp; 66.1% Office supplies </t>
  </si>
  <si>
    <t xml:space="preserve">Cleaning 98.4 Printing materials 100 Office supplies 58.7 </t>
  </si>
  <si>
    <t xml:space="preserve">97.1% Cleaning, 100% Printing materials &amp; 28.2% Office Supplies </t>
  </si>
  <si>
    <t>Water consumption per employee</t>
  </si>
  <si>
    <t>Purchasing’s carbon footprint per employee</t>
  </si>
  <si>
    <r>
      <t>tCO</t>
    </r>
    <r>
      <rPr>
        <vertAlign val="subscript"/>
        <sz val="9"/>
        <color rgb="FF000000"/>
        <rFont val="Calibri"/>
        <family val="2"/>
      </rPr>
      <t>2</t>
    </r>
    <r>
      <rPr>
        <sz val="9"/>
        <color rgb="FF000000"/>
        <rFont val="Calibri"/>
        <family val="2"/>
      </rPr>
      <t>e</t>
    </r>
  </si>
  <si>
    <t xml:space="preserve">Construction &amp; maintenance per branch </t>
  </si>
  <si>
    <t xml:space="preserve">                                  -  </t>
  </si>
  <si>
    <r>
      <rPr>
        <b/>
        <sz val="9"/>
        <color rgb="FF000000"/>
        <rFont val="Calibri"/>
        <family val="2"/>
        <scheme val="minor"/>
      </rPr>
      <t>Reporting principles:</t>
    </r>
    <r>
      <rPr>
        <sz val="9"/>
        <color rgb="FF000000"/>
        <rFont val="Calibri"/>
        <family val="2"/>
        <scheme val="minor"/>
      </rPr>
      <t xml:space="preserve">
Area is defined as square metres under the operational control of Arbejdernes Landsbank and AL Finans and covers the bank’s head offices and branches. Electricity consumption is based on data from digital meters from our electricity supplier Nordlys. The location-based electricity consumption is 0, as we only purchase green electricity. The market-based electricity consumption is based on data from Ørsted’s Environmental Product Declaration. Heat consumption is based on digitally and manually available data from district heating companies. Water is based on digitally and manually available data from water companies. We do not convert water consumption to CO</t>
    </r>
    <r>
      <rPr>
        <vertAlign val="subscript"/>
        <sz val="9"/>
        <color rgb="FF000000"/>
        <rFont val="Calibri"/>
        <family val="2"/>
        <scheme val="minor"/>
      </rPr>
      <t>2</t>
    </r>
    <r>
      <rPr>
        <sz val="9"/>
        <color rgb="FF000000"/>
        <rFont val="Calibri"/>
        <family val="2"/>
        <scheme val="minor"/>
      </rPr>
      <t>e as the consumption and impact is considered insignificant. Public transport is no longer being reported on as the group no longer uses business travel cards. Car transport is based on data on mileage allowance and kilometres driven by the car fleet, and we use CO</t>
    </r>
    <r>
      <rPr>
        <vertAlign val="subscript"/>
        <sz val="9"/>
        <color rgb="FF000000"/>
        <rFont val="Calibri"/>
        <family val="2"/>
        <scheme val="minor"/>
      </rPr>
      <t>2</t>
    </r>
    <r>
      <rPr>
        <sz val="9"/>
        <color rgb="FF000000"/>
        <rFont val="Calibri"/>
        <family val="2"/>
        <scheme val="minor"/>
      </rPr>
      <t>e emissions data from DCE to calculate employee driving during working hours. Food data is provided by the supplier, both in terms of CO2e and quantities. Purchasing data is based on data from business partners who provide data in DKK broken down by environmentally certified procurement and total procurement, respectively - as well as CO</t>
    </r>
    <r>
      <rPr>
        <vertAlign val="subscript"/>
        <sz val="9"/>
        <color rgb="FF000000"/>
        <rFont val="Calibri"/>
        <family val="2"/>
        <scheme val="minor"/>
      </rPr>
      <t>2</t>
    </r>
    <r>
      <rPr>
        <sz val="9"/>
        <color rgb="FF000000"/>
        <rFont val="Calibri"/>
        <family val="2"/>
        <scheme val="minor"/>
      </rPr>
      <t>e emissions data from the Danish Business Authority’s CO</t>
    </r>
    <r>
      <rPr>
        <vertAlign val="subscript"/>
        <sz val="9"/>
        <color rgb="FF000000"/>
        <rFont val="Calibri"/>
        <family val="2"/>
        <scheme val="minor"/>
      </rPr>
      <t>2</t>
    </r>
    <r>
      <rPr>
        <sz val="9"/>
        <color rgb="FF000000"/>
        <rFont val="Calibri"/>
        <family val="2"/>
        <scheme val="minor"/>
      </rPr>
      <t xml:space="preserve">e calculator (EXIOBASE v3.3.16b2 (for 2020 w. 2011 data), which contains a comprehensive life cycle database. Resource management (waste) is based on data from Total waste and climate data is calculated via the CO2 calculator platform. 
The canteen supplier does not have data available to break down food consumption and carbon footprints by food categories due to a change in data principles. </t>
    </r>
  </si>
  <si>
    <t>Target</t>
  </si>
  <si>
    <t>Customers, total</t>
  </si>
  <si>
    <t>- of which private customers</t>
  </si>
  <si>
    <t xml:space="preserve">Number </t>
  </si>
  <si>
    <t>- of which business customers</t>
  </si>
  <si>
    <t>- of which housing associations, associations, organisations and other</t>
  </si>
  <si>
    <t> 76</t>
  </si>
  <si>
    <t>Total customers with a legally valid document at TestaViva</t>
  </si>
  <si>
    <t>Customer satisfaction, private customer responses</t>
  </si>
  <si>
    <t>- of which housing associations, associations and organisations</t>
  </si>
  <si>
    <t>Notes</t>
  </si>
  <si>
    <t>Vestjysk Bank’s NPS score is calculated based on 5,000 randomly selected customer responses given independently of advisory services meetings or the like.</t>
  </si>
  <si>
    <t>Vestjysk Bank’s net decrease in customer numbers in 2022 is due to the divestment of Vestjysk Bank’s branches in Rødekro, Tinglev and Løgumkloster in October 2022.</t>
  </si>
  <si>
    <t>Customers in the group have been restated for 2022 so that customers who are with both Arbejdernes Landsbank and AL Finans are not counted twice.</t>
  </si>
  <si>
    <t>A new calculation method for the CEM score means that the CEM score for 2023 cannot be compared with previous years.</t>
  </si>
  <si>
    <t>women</t>
  </si>
  <si>
    <t>ekskl. bestyrelse</t>
  </si>
  <si>
    <t>men</t>
  </si>
  <si>
    <t xml:space="preserve">Arbejdernes Landsbank </t>
  </si>
  <si>
    <r>
      <t>-</t>
    </r>
    <r>
      <rPr>
        <sz val="9"/>
        <color rgb="FF000000"/>
        <rFont val="Calibri"/>
        <family val="2"/>
        <scheme val="minor"/>
      </rPr>
      <t>of which women</t>
    </r>
  </si>
  <si>
    <r>
      <t>-</t>
    </r>
    <r>
      <rPr>
        <sz val="9"/>
        <color rgb="FF000000"/>
        <rFont val="Calibri"/>
        <family val="2"/>
        <scheme val="minor"/>
      </rPr>
      <t>of which men</t>
    </r>
  </si>
  <si>
    <t>Interns and finance trainees</t>
  </si>
  <si>
    <t>at least 40</t>
  </si>
  <si>
    <t xml:space="preserve">Employee satisfaction measured by job satisfaction/loyalty
</t>
  </si>
  <si>
    <t>79/81*</t>
  </si>
  <si>
    <t>80/86</t>
  </si>
  <si>
    <t xml:space="preserve">AL Finans </t>
  </si>
  <si>
    <t>(not prepared in 2023)</t>
  </si>
  <si>
    <t xml:space="preserve">80/85 
</t>
  </si>
  <si>
    <t>Employee satisfaction measured by job satisfaction</t>
  </si>
  <si>
    <t>*Arbejdernes Landsbank has in 2023 changed the question framework to “Employee engagement to be measured by motivation/willingness to recommend”.
Note that for previous years, data covers “Employee satisfaction measured by job satisfaction/loyalty”.
For AL Finans, there is no measurement in 2023 and for 2022 the data covers “Employee satisfaction measured by job satisfaction/loyalty”.
Sickness absence per employee
Changed calculation method in 2023 to be in line with the rest of the sector. Data from 2020-2022 has been adjusted accordingly. (Old method: 2022: 9.2, 2021: 6.54 and 2020: 6.09</t>
  </si>
  <si>
    <t xml:space="preserve">Gender diversity on the Board of Directors </t>
  </si>
  <si>
    <t>Gender diversity on the Executive Board 
(CEO, Deputy CEO and Bank Directors)</t>
  </si>
  <si>
    <t>Pay gap between CEO and employees</t>
  </si>
  <si>
    <t>Attendance at ESG committee meetings</t>
  </si>
  <si>
    <t>Gender diversity on the Executive Board 
(CEO and Bank Director)</t>
  </si>
  <si>
    <t xml:space="preserve">Percentage of employees who have completed awareness training during awareness weeks  </t>
  </si>
  <si>
    <t>Gender diversity on the Board of Directors. 
Changed method in 2023 to include only those elected by the general meeting. 2022 figures have been recalculated according to the new method, i.e. changed from 46/54 to 33.33/66.67, but no recalculations have been made for previous years.
In 2023, the Sustainability Committee at Arbejdernes Landsbank changed its Danish name from “Bæredygtighedsudvalget” to “Bæredygtighedskomitéen”.
In 2023, a board committee was established: The ESG committee.
Vestjysk Bank: Awareness training is taking place from December 2023 - January 2024, after which HR will follow up.</t>
  </si>
  <si>
    <t>Policies, committees and practices</t>
  </si>
  <si>
    <t>Policies: Arbejdernes Landsbank and the group</t>
  </si>
  <si>
    <t>Group/company policy</t>
  </si>
  <si>
    <t>Approved by</t>
  </si>
  <si>
    <t>Comments</t>
  </si>
  <si>
    <t>Policies: Vestjysk Bank</t>
  </si>
  <si>
    <t>Policy for corporate social responsibility and sustainability</t>
  </si>
  <si>
    <t>Board of Directors</t>
  </si>
  <si>
    <t xml:space="preserve">The policy covers Arbejdernes Landsbank and AL Finans and describes the overall policy for sustainability, risks in the area, integration of sustainability in business processes, approach to stakeholders and how we work to minimise risks of breaches of human rights and labour rights.  </t>
  </si>
  <si>
    <t>Policy for operational risk</t>
  </si>
  <si>
    <t>Not public</t>
  </si>
  <si>
    <t>Policy for the processing of personal data</t>
  </si>
  <si>
    <t>Group policy for data ethics</t>
  </si>
  <si>
    <t>Tax policy</t>
  </si>
  <si>
    <t>Market risk policy</t>
  </si>
  <si>
    <t>Policy on the integration of sustainability risks</t>
  </si>
  <si>
    <t>The company</t>
  </si>
  <si>
    <t xml:space="preserve">Policy on responsible investments </t>
  </si>
  <si>
    <t xml:space="preserve">Describes Arbejdernes Landsbank’s policy for how sustainability and ESG considerations are integrated into investment processes and products. </t>
  </si>
  <si>
    <t>Statement of most significant adverse sustainability impacts</t>
  </si>
  <si>
    <t>Markets</t>
  </si>
  <si>
    <t>Recommendations for good corporate governance</t>
  </si>
  <si>
    <t xml:space="preserve">Arbejdernes Landsbank has complied with all the recommendations for good corporate governance. </t>
  </si>
  <si>
    <t>Code of Conduct</t>
  </si>
  <si>
    <t>The document describes the Arbejdernes Landsbank group’s policy for and handling of conflicts of interest, gifts, whistleblower reports and combating corruption, bribery and money laundering.</t>
  </si>
  <si>
    <t xml:space="preserve">Code of Conduct </t>
  </si>
  <si>
    <t>defines a set of rules of behaviour that all employees must apply towards customers, suppliers and authorities</t>
  </si>
  <si>
    <t>Pay policy</t>
  </si>
  <si>
    <t>Whistleblower policy</t>
  </si>
  <si>
    <t>Described in the Arbejdernes Landsbank group’s Code of Conduct</t>
  </si>
  <si>
    <t>Policy for diversity and suitability among the Board of Directors</t>
  </si>
  <si>
    <t>The policy aims to ensure diversity and suitability in the selection of 
board members and gender diversity on the Board of Directors</t>
  </si>
  <si>
    <t>Policy for the underrepresented gender, diversity and suitability</t>
  </si>
  <si>
    <t>Policy for the prevention of money laundering, terrorist financing and sanctions violations</t>
  </si>
  <si>
    <t>Policy for a sound corporate culture</t>
  </si>
  <si>
    <t xml:space="preserve">Credit policy </t>
  </si>
  <si>
    <t>Contains a description of Arbejdernes Landsbank’s credit policy, including the approach to sustainability and ESG. The policy is not public.</t>
  </si>
  <si>
    <t>Credit policy</t>
  </si>
  <si>
    <t>Policy on occupational health and safety</t>
  </si>
  <si>
    <t>HR</t>
  </si>
  <si>
    <t>Not public. For review in the Occupational Safety and Health Committee</t>
  </si>
  <si>
    <t>Policy on absenteeism due to sickness</t>
  </si>
  <si>
    <t>Not public. For review in SU</t>
  </si>
  <si>
    <t>Not adopted as policy, but contained in internal guidelines</t>
  </si>
  <si>
    <t>Policy on stress</t>
  </si>
  <si>
    <t>Ikke politik men som interne retningslinjer</t>
  </si>
  <si>
    <t>Policy on drug and alcohol abuse</t>
  </si>
  <si>
    <t>Policy on care</t>
  </si>
  <si>
    <t>Policy on senior employees</t>
  </si>
  <si>
    <t>Policy for the prevention and management of bullying and harassment</t>
  </si>
  <si>
    <t>Policy on working from home</t>
  </si>
  <si>
    <t>Travel policy</t>
  </si>
  <si>
    <t>Hybrid workplace policy</t>
  </si>
  <si>
    <t>Purchasing policy</t>
  </si>
  <si>
    <t>Facility Management</t>
  </si>
  <si>
    <t>Guidelines for the interior climate</t>
  </si>
  <si>
    <t>Car policy</t>
  </si>
  <si>
    <t>Arbejdernes Landsbank Committees</t>
  </si>
  <si>
    <t>Rooted in</t>
  </si>
  <si>
    <t>Vestjysk Bank: Committees</t>
  </si>
  <si>
    <t>The ESG Committee</t>
  </si>
  <si>
    <t xml:space="preserve">The ESG Committee prepares the Board of Director’s work on ESG issues. The committee’s tasks include advising the Board of Directors on the sustainability strategy and assisting the board in ensuring that the strategy is implemented correctly in the organisation. In addition, the committee prepares concrete proposals for commercial initiatives that can strengthen the group’s sustainability profile.
</t>
  </si>
  <si>
    <t>Sustainability Committee</t>
  </si>
  <si>
    <t>The Nomination and Remuneration Committee</t>
  </si>
  <si>
    <t>The Audit Committee</t>
  </si>
  <si>
    <t>The Risk Committee</t>
  </si>
  <si>
    <t>The Advisory Board of Representatives</t>
  </si>
  <si>
    <t>The Advisory Board of Representatives is a committee under the Board of Directors.</t>
  </si>
  <si>
    <t>Commitments and practices</t>
  </si>
  <si>
    <t>Connected/started</t>
  </si>
  <si>
    <t>The UN’s Principles for Responsible Banking</t>
  </si>
  <si>
    <t>Arbejdernes Landsbank has endorsed and reports based on the UN’s Principles for Responsible Banking.</t>
  </si>
  <si>
    <t>The UN’s Principles for Responsible Investment</t>
  </si>
  <si>
    <t>Arbejdernes Landsbank has joined and reports to the UN’s PRI.</t>
  </si>
  <si>
    <t>The UN’s Global Compact</t>
  </si>
  <si>
    <t>Arbejdernes Landsbank has joined and reports to the UN Global Compact.</t>
  </si>
  <si>
    <t>GHG reporting</t>
  </si>
  <si>
    <t>We report on the group’s indirect CO2e emissions from loans and investments as well as our own CO2e emissions according to the GHG protocol.</t>
  </si>
  <si>
    <t>Financed CO2e emissions</t>
  </si>
  <si>
    <t>Arbejdernes Landsbank uses principles from Finance Denmark’s CO2e model to calculate the financed emissions. The model is fundamentally in line with the Partnership for Carbon Accounting Financials (PCAF).</t>
  </si>
  <si>
    <t>ESG reporting tool for business customers</t>
  </si>
  <si>
    <t xml:space="preserve">We offer business customers in Arbejdernes Landsbank, Vestjysk Bank and AL Finans access to the platform called Valified. The platform enables companies to create ESG reports easily, professionally and online so that they can fulfil the increasing demands and expectations of investors, customers, authorities and the outside world. </t>
  </si>
  <si>
    <t>ESG reporting</t>
  </si>
  <si>
    <t xml:space="preserve">Arbejdernes Landsbank and AL Finans report on CFA Society Denmark/FSR, Danske Revisorer/Nasdaq’s recommended ESG key figures and ratios supplemented by a number of other relevant ratios within the bank’s core business (loans and investments). </t>
  </si>
  <si>
    <t>The UN’s Sustainable Development Goals</t>
  </si>
  <si>
    <t>Arbejdernes Landsbank has been reporting on contributions to the UN Sustainable Development Goals since 2019. 
9 of the UN Sustainable Development Goals are an integral part of the sustainability strategy’s 2025 targets.</t>
  </si>
  <si>
    <t>Electricity consumption is covered by renewable energy</t>
  </si>
  <si>
    <t>100% of Arbejdernes Landsbank’s own electricity consumption is covered by renewable energy sources.</t>
  </si>
  <si>
    <t>Financial support for aid organisations</t>
  </si>
  <si>
    <t>Every year, Arbejdernes Landsbank supports a number of aid organisations and charitable projects for the benefit and enjoyment of children, young people and the vulnerable in society.</t>
  </si>
  <si>
    <t>Arbejdernes Landsbanks Fond</t>
  </si>
  <si>
    <t xml:space="preserve">Arbejdernes Landsbank Fond aims to strengthen Danish society - including children - through education and knowledge. The foundation operates as a self-governing institution and provides grants for further education or training, primarily to schools and educational institutions as well as to individuals undergoing education or training. </t>
  </si>
  <si>
    <t xml:space="preserve">References </t>
  </si>
  <si>
    <t>Impact analyses</t>
  </si>
  <si>
    <t>Portfolio Impact Identification Tool, V2</t>
  </si>
  <si>
    <t>Used to perform impact analysis on the group’s loan portfolio.</t>
  </si>
  <si>
    <t>Investment Portfolio Impact Analysis Tool</t>
  </si>
  <si>
    <t>Used to perform impact analysis on the group’s investment portfolio.</t>
  </si>
  <si>
    <t>Calculation principles for CO2e</t>
  </si>
  <si>
    <t>CO2 model for the financial sector</t>
  </si>
  <si>
    <t xml:space="preserve">We use the principles of Finance Denmark’s CO2e model to calculate financed emissions. </t>
  </si>
  <si>
    <t>Calculation methods for CO2e</t>
  </si>
  <si>
    <t>Spreadsheet for calculating CO2e on business loans</t>
  </si>
  <si>
    <t xml:space="preserve">Based on a best-effort approach, we utilise LOPI’s suggested data sources and methodology for calculating CO2e emissions from business financing. </t>
  </si>
  <si>
    <t>Car loan and leasing CO2e calculation spreadsheet</t>
  </si>
  <si>
    <t>Based on a best-effort approach, we use LOPI’s spreadsheet and methodology to calculate CO2e emissions on car loans and leasing.</t>
  </si>
  <si>
    <t>CFA Society Denmark/FSR Danske Revisorer/Nasdaq</t>
  </si>
  <si>
    <t>ESG metrics and ratios in the annual report</t>
  </si>
  <si>
    <t>We report on the recommended KPIs. See accounting policies below.</t>
  </si>
  <si>
    <t>Data for calculating CO2e on home loans</t>
  </si>
  <si>
    <t>We have received data sets with energy labels on properties in Denmark from Nykredit/Totalkredit for calculating emissions from home financing.</t>
  </si>
  <si>
    <t>Data to calculate CO2e on car loans and leasing</t>
  </si>
  <si>
    <t xml:space="preserve">For our calculation of CO2e on car and leasing, we use known data on fuel type and engine size for all the cars in the portfolio. In addition, we use statistical data such as annual mileage from DCE (Danish Centre for Environmental and Energy) at Aarhus University. </t>
  </si>
  <si>
    <t>Data to calculate CO2e on business loans</t>
  </si>
  <si>
    <t>We have obtained emissions data from Statistics Denmark and have aggregated data based on the Danish Financial Supervisory Authority’s industry breakdown. We have mapped this data with the individual industries’ balance sheet figures so that the group’s market share in a given industry can be calculated and thereby also the bank’s share of the industry’s total emissions.</t>
  </si>
  <si>
    <t>Data to calculate CO2e on investments</t>
  </si>
  <si>
    <t xml:space="preserve">We collect and utilise emissions data from MSCI to calculate financed emissions on the investment portfolios - both in relation to investments on behalf of customers and owners and in relation to investments of our own portfolio. </t>
  </si>
  <si>
    <t>Ratios and key figures</t>
  </si>
  <si>
    <t>Description</t>
  </si>
  <si>
    <t>Calculation</t>
  </si>
  <si>
    <t>Climate and environmental data</t>
  </si>
  <si>
    <t>CO2e scope 1</t>
  </si>
  <si>
    <t>Scope 1 emissions are direct emissions resulting from the combustion of fuels by the group’s own or controlled sources.</t>
  </si>
  <si>
    <t>Greenhouse gases (GHG) are calculated for each fuel type.
Emissions are converted to CO2 equivalents(CO2e): CO2e=CO2 + (GWP factor *CH4) + (GWP factor *N2O) + (GWP factor *SF6) + (GWP factor *HFC) + (GWP factor *PFC) + (GWP factor *NF3).</t>
  </si>
  <si>
    <t>CO2e scope 2</t>
  </si>
  <si>
    <t>Scope 2 emissions are indirect emissions that stem from the energy purchased by the group.</t>
  </si>
  <si>
    <t>Scope 2 emissions are calculated per purchased MWh of electricity and district heating.
Emissions are converted to CO2e: CO2e=CO2 + (GWP factor *CH4) + (GWP factor *N2O).</t>
  </si>
  <si>
    <t>CO2e scope 3</t>
  </si>
  <si>
    <t xml:space="preserve">Scope 3 emissions include all other indirect emissions that originate from activities outside the group. 
As a financial company, scope 3 emissions represent a significant part of the group’s economic activities, i.e. the derived CO2e effect of financing, investments and leasing activities. 
Scope 3 emissions also represent other indirect emissions from sources that the group does not own or control. This applies to the emissions associated with the value chain that the group is part of, such as purchasing IT products, resource management, canteen operations and transport. </t>
  </si>
  <si>
    <r>
      <t xml:space="preserve">See the </t>
    </r>
    <r>
      <rPr>
        <b/>
        <sz val="9"/>
        <rFont val="Calibri"/>
        <family val="2"/>
        <scheme val="minor"/>
      </rPr>
      <t>Climate accounts</t>
    </r>
    <r>
      <rPr>
        <sz val="9"/>
        <rFont val="Calibri"/>
        <family val="2"/>
        <scheme val="minor"/>
      </rPr>
      <t xml:space="preserve"> tab for a description of accounting policies for the CO2 emissions of economic activities, specifically CO2e for home financing, car financing, business finance and investments.
Other indirect scope 3 emissions associated with the group’s internal operations are shown in the table "Group’s own CO2e emissions".</t>
    </r>
  </si>
  <si>
    <t>Energy consumption</t>
  </si>
  <si>
    <t>Energy, like emissions, is typically calculated based on fuel consumption multiplied by conversion factors. The energy consumed is based on energy from scope 1 and 2 sources as well as energy from renewable sources.</t>
  </si>
  <si>
    <t>Energy consumption = ∑ (fuel type used (t) * energy factor per fuel type) per fuel type + (electricity used (including renewable energy) (MWh)) + (district heating used including renewable sources of heat (GJ/3.6)).</t>
  </si>
  <si>
    <t>Renewable energy share</t>
  </si>
  <si>
    <t>How much of the total energy consumed comes from renewable energy sources. Sometimes this is also measured as renewable energy vs. non-renewable energy, but this ratio would be impossible to calculate in cases where all energy is from renewable sources.</t>
  </si>
  <si>
    <t>Renewable energy share = 
(Renewable energy/Energy consumption) * 100.</t>
  </si>
  <si>
    <t>The sum of all water consumed from all sources such as surface water, groundwater, rainwater or municipal water. Water consumption is calculated on a gross basis and if the company has also treated wastewater or the like, this cannot be deducted, but it can of course be reported separately.</t>
  </si>
  <si>
    <t>Water consumption = Sum of all water consumed - gross.</t>
  </si>
  <si>
    <t>Extracting and processing raw materials into clean and usable materials requires energy and time, and since there is a limited amount of resources on the planet, the group is also working to reduce the amount of resources that the group sends for recycling and incineration.</t>
  </si>
  <si>
    <t>Resource management = 
Sum of all waste in Metric Tonnes.</t>
  </si>
  <si>
    <t>Social data</t>
  </si>
  <si>
    <t>Customer satisfaction</t>
  </si>
  <si>
    <t xml:space="preserve">Every year, the independent research institute Voxmeter conducts the CEM Bank Intelligence satisfaction survey among thousands of randomly selected Danish bank customers in the country’s 20 largest banks. The maximum CEM score is 11,000. </t>
  </si>
  <si>
    <t>Voxmeter’s 2022 report includes more than 60,000 individuals who answered 14 brief questionnaires in randomised order.</t>
  </si>
  <si>
    <t>Calculated to be able to measure the full-time labour force required to perform the work that generated the financial ratios.
This requires both the statutory calculation of the average number of employees (FTEs) (i.e. full-time employees + compensated overtime + recalculated hourly employees) plus temporary/temporary staff converted to full-time equivalents.</t>
  </si>
  <si>
    <t>Full-time workforce = FTEs + temporary labour.</t>
  </si>
  <si>
    <t>Gender diversity is calculated for both FTEs and temporary workers - and then totalled to show if there are any gender diversity gaps per contract type and for the entire workforce.</t>
  </si>
  <si>
    <t xml:space="preserve">Gender diversity = ((Female FTEs + Female temporary workers)/(Full-time workforce)) * 100. </t>
  </si>
  <si>
    <t>According to the Danish Financial Statements Act, the group can decide which layers to include. The calculation includes the Executive Board and employees in senior positions with staff responsibilities. I.e. team leaders, deputy managers and specialised managers without staff responsibilities are not included.</t>
  </si>
  <si>
    <t>Gender diversity for managers with staff responsibilities = ((Female managers)/(All managers)) * 100.</t>
  </si>
  <si>
    <t>Equal pay - including bonuses, pension, etc. How many times can the female median salary be covered by the male median salary. Medians rather than averages are used to avoid skewing the ratio with extremely high-paid and/or low-paid employees.</t>
  </si>
  <si>
    <t>Gender pay gap = Median male salary/Median female salary.</t>
  </si>
  <si>
    <t xml:space="preserve">Average seniority </t>
  </si>
  <si>
    <t>The seniority per employee is the current employee’s seniority as at the current date. This means that if an employee has had both five and six years of seniority in the specified period, the employee’s seniority in the period will be counted as six years.</t>
  </si>
  <si>
    <t xml:space="preserve">Sum of seniority of employees / 
number of employees = average seniority. </t>
  </si>
  <si>
    <t>Staff turnover rate is calculated for employees both leaving the company voluntarily or involuntarily. Retirements are included as employees leaving involuntarily. The ratio only covers the group’s own FTEs.</t>
  </si>
  <si>
    <t>Staff turnover rate = ((Volunteers + Involuntary leaving FTEs)/FTEs) * 100.</t>
  </si>
  <si>
    <t>Sickness absence</t>
  </si>
  <si>
    <t>Number of full days that all of the bank’s employees are sick and therefore not at work in relation to the total number of FTEs. Maternity/paternity leave absences are not included.</t>
  </si>
  <si>
    <t>Sickness absence = (Number of sick days for all own FTEs in the period) /(Total FTEs).</t>
  </si>
  <si>
    <t>Percentage of retained customers from one period to the next.</t>
  </si>
  <si>
    <t>Customer retention: ((Number of customers at the end of the period) - (New customers added during the period)) / (Number of customers at the beginning of the period)) * 100.</t>
  </si>
  <si>
    <t>Management data</t>
  </si>
  <si>
    <t>How many times the median employee salary can be covered by CEO compensation as a measure of social equity. The calculations use the median salary rather than the average to avoid skewing the ratio with extremely expensive and/or cheap employees.</t>
  </si>
  <si>
    <t>Salary difference between CEO and employees = CEO compensation/ Median employee salary.</t>
  </si>
  <si>
    <t>This figure includes the entire Executive Board in, respectively, Arbejdernes Landsbank and Vestjysk Bank.</t>
  </si>
  <si>
    <t>Gender diversity of managers = ((Female managers) / (All managers)) * 100.</t>
  </si>
  <si>
    <t xml:space="preserve">Gender diversity throughout the board of directors in, respectively, Arbejdernes Landsbank, AL Finans and Vestjysk Bank, excluding politically appointed members. </t>
  </si>
  <si>
    <t>Gender diversity in the Board of Directors = ((Women elected by the Annual General Meeting
to the Board of Directors) / (All board members elected by the general meeting)) * 100.</t>
  </si>
  <si>
    <t>Measures the activity level of the members of the bank’s Board of Directors in, respectively, Arbejdernes Landsbank and Vestjysk Bank.</t>
  </si>
  <si>
    <t>Attendance at board meetings = ((∑Number of board meetings attended) per board member /(Number of board meetings * Number of board members)) * 100.</t>
  </si>
  <si>
    <t>Measures the level of activity of members of the sustainability committees in, respectively, Arbejdernes Landsbank and Vestjysk Bank.</t>
  </si>
  <si>
    <t>Attendance at sustainability committee meetings = ((∑Number of sustainability committee meetings attended) per sustainability committee member /(Number of sustainability committee meetings * Number of sustainability committee members))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</si>
</sst>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k_r_._-;\-* #,##0.00\ _k_r_._-;_-* &quot;-&quot;??\ _k_r_._-;_-@_-"/>
    <numFmt numFmtId="165" formatCode="#,##0.0"/>
    <numFmt numFmtId="166" formatCode="0.0"/>
    <numFmt numFmtId="167" formatCode="0.0%"/>
    <numFmt numFmtId="168" formatCode="_-* #,##0_-;\-* #,##0_-;_-* &quot;-&quot;??_-;_-@_-"/>
    <numFmt numFmtId="169" formatCode="_-* #,##0.0_-;\-* #,##0.0_-;_-* &quot;-&quot;??_-;_-@_-"/>
  </numFmts>
  <fonts count="70" x14ac:knownFonts="1">
    <font>
      <sz val="11"/>
      <color theme="1"/>
      <name val="Calibri"/>
      <family val="2"/>
      <scheme val="minor"/>
    </font>
    <font>
      <sz val="10"/>
      <color rgb="FF000000"/>
      <name val="Calibri"/>
      <family val="2"/>
      <scheme val="minor"/>
    </font>
    <font>
      <sz val="10"/>
      <name val="Calibri"/>
      <family val="2"/>
      <scheme val="minor"/>
    </font>
    <font>
      <sz val="8"/>
      <name val="Calibri"/>
      <family val="2"/>
      <scheme val="minor"/>
    </font>
    <font>
      <sz val="10"/>
      <color theme="1"/>
      <name val="Calibri"/>
      <family val="2"/>
      <scheme val="minor"/>
    </font>
    <font>
      <sz val="11"/>
      <color theme="1"/>
      <name val="Calibri"/>
      <family val="2"/>
      <scheme val="minor"/>
    </font>
    <font>
      <sz val="11"/>
      <color rgb="FF000000"/>
      <name val="Calibri"/>
      <family val="2"/>
    </font>
    <font>
      <u/>
      <sz val="11"/>
      <color theme="10"/>
      <name val="Calibri"/>
      <family val="2"/>
      <scheme val="minor"/>
    </font>
    <font>
      <b/>
      <sz val="10"/>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u/>
      <sz val="11"/>
      <color theme="1"/>
      <name val="Calibri"/>
      <family val="2"/>
      <scheme val="minor"/>
    </font>
    <font>
      <b/>
      <sz val="11"/>
      <name val="Calibri"/>
      <family val="2"/>
      <scheme val="minor"/>
    </font>
    <font>
      <b/>
      <sz val="18"/>
      <color theme="0"/>
      <name val="Calibri"/>
      <family val="2"/>
      <scheme val="minor"/>
    </font>
    <font>
      <b/>
      <sz val="13"/>
      <name val="Calibri"/>
      <family val="2"/>
      <scheme val="minor"/>
    </font>
    <font>
      <u/>
      <sz val="10"/>
      <color theme="10"/>
      <name val="Calibri"/>
      <family val="2"/>
      <scheme val="minor"/>
    </font>
    <font>
      <b/>
      <sz val="9"/>
      <color theme="1"/>
      <name val="Calibri"/>
      <family val="2"/>
      <scheme val="minor"/>
    </font>
    <font>
      <b/>
      <sz val="16"/>
      <name val="Calibri"/>
      <family val="2"/>
      <scheme val="minor"/>
    </font>
    <font>
      <b/>
      <sz val="18"/>
      <name val="Calibri"/>
      <family val="2"/>
      <scheme val="minor"/>
    </font>
    <font>
      <u/>
      <sz val="9"/>
      <color theme="10"/>
      <name val="Calibri"/>
      <family val="2"/>
      <scheme val="minor"/>
    </font>
    <font>
      <b/>
      <u/>
      <sz val="11"/>
      <color theme="0"/>
      <name val="Calibri"/>
      <family val="2"/>
      <scheme val="minor"/>
    </font>
    <font>
      <sz val="9"/>
      <color rgb="FF000000"/>
      <name val="Calibri"/>
      <family val="2"/>
      <scheme val="minor"/>
    </font>
    <font>
      <u/>
      <sz val="9"/>
      <name val="Calibri"/>
      <family val="2"/>
      <scheme val="minor"/>
    </font>
    <font>
      <sz val="9"/>
      <color rgb="FF231F20"/>
      <name val="Calibri"/>
      <family val="2"/>
      <scheme val="minor"/>
    </font>
    <font>
      <sz val="9"/>
      <name val="Calibri"/>
      <family val="2"/>
      <scheme val="minor"/>
    </font>
    <font>
      <b/>
      <sz val="9"/>
      <name val="Calibri"/>
      <family val="2"/>
      <scheme val="minor"/>
    </font>
    <font>
      <b/>
      <sz val="9"/>
      <color rgb="FF000000"/>
      <name val="Calibri"/>
      <family val="2"/>
      <scheme val="minor"/>
    </font>
    <font>
      <b/>
      <sz val="9"/>
      <color rgb="FF000000"/>
      <name val="Calibri"/>
      <family val="2"/>
    </font>
    <font>
      <sz val="9"/>
      <color rgb="FF000000"/>
      <name val="Calibri"/>
      <family val="2"/>
    </font>
    <font>
      <b/>
      <sz val="9"/>
      <name val="Calibri"/>
      <family val="2"/>
    </font>
    <font>
      <b/>
      <sz val="11"/>
      <color rgb="FFFA7D00"/>
      <name val="Calibri"/>
      <family val="2"/>
      <charset val="238"/>
      <scheme val="minor"/>
    </font>
    <font>
      <sz val="11"/>
      <color rgb="FF006100"/>
      <name val="Calibri"/>
      <family val="2"/>
      <charset val="238"/>
      <scheme val="minor"/>
    </font>
    <font>
      <sz val="9"/>
      <color theme="1"/>
      <name val="Calibri"/>
      <family val="2"/>
    </font>
    <font>
      <sz val="9"/>
      <color rgb="FFFF0000"/>
      <name val="Calibri"/>
      <family val="2"/>
      <scheme val="minor"/>
    </font>
    <font>
      <b/>
      <sz val="9"/>
      <color rgb="FFFF0000"/>
      <name val="Calibri"/>
      <family val="2"/>
      <scheme val="minor"/>
    </font>
    <font>
      <b/>
      <sz val="9"/>
      <color theme="0"/>
      <name val="Calibri"/>
      <family val="2"/>
      <scheme val="minor"/>
    </font>
    <font>
      <sz val="9"/>
      <color rgb="FF07094A"/>
      <name val="Calibri"/>
      <family val="2"/>
      <scheme val="minor"/>
    </font>
    <font>
      <sz val="8"/>
      <color rgb="FF000000"/>
      <name val="Calibri"/>
      <family val="2"/>
    </font>
    <font>
      <sz val="11"/>
      <color rgb="FF000000"/>
      <name val="Arial"/>
      <family val="2"/>
    </font>
    <font>
      <vertAlign val="subscript"/>
      <sz val="9"/>
      <name val="Calibri"/>
      <family val="2"/>
      <scheme val="minor"/>
    </font>
    <font>
      <b/>
      <vertAlign val="subscript"/>
      <sz val="9"/>
      <color theme="1"/>
      <name val="Calibri"/>
      <family val="2"/>
      <scheme val="minor"/>
    </font>
    <font>
      <vertAlign val="subscript"/>
      <sz val="9"/>
      <color theme="1"/>
      <name val="Calibri"/>
      <family val="2"/>
      <scheme val="minor"/>
    </font>
    <font>
      <b/>
      <vertAlign val="subscript"/>
      <sz val="9"/>
      <name val="Calibri"/>
      <family val="2"/>
    </font>
    <font>
      <b/>
      <sz val="9"/>
      <color theme="0"/>
      <name val="Calibri"/>
      <family val="2"/>
    </font>
    <font>
      <b/>
      <sz val="9"/>
      <color theme="1"/>
      <name val="Calibri"/>
      <family val="2"/>
    </font>
    <font>
      <b/>
      <vertAlign val="subscript"/>
      <sz val="9"/>
      <color rgb="FF000000"/>
      <name val="Calibri"/>
      <family val="2"/>
    </font>
    <font>
      <sz val="8"/>
      <color theme="1"/>
      <name val="Calibri"/>
      <family val="2"/>
      <scheme val="minor"/>
    </font>
    <font>
      <vertAlign val="subscript"/>
      <sz val="9"/>
      <color rgb="FF000000"/>
      <name val="Calibri"/>
      <family val="2"/>
    </font>
    <font>
      <i/>
      <sz val="9"/>
      <color rgb="FF000000"/>
      <name val="Calibri"/>
      <family val="2"/>
    </font>
    <font>
      <b/>
      <sz val="11"/>
      <color rgb="FF000000"/>
      <name val="Calibri"/>
      <family val="2"/>
    </font>
    <font>
      <sz val="9"/>
      <color rgb="FFFF0000"/>
      <name val="Calibri"/>
      <family val="2"/>
    </font>
    <font>
      <sz val="9"/>
      <name val="Calibri"/>
      <family val="2"/>
    </font>
    <font>
      <i/>
      <sz val="9"/>
      <color rgb="FFFF0000"/>
      <name val="Calibri"/>
      <family val="2"/>
    </font>
    <font>
      <vertAlign val="superscript"/>
      <sz val="9"/>
      <color rgb="FF000000"/>
      <name val="Calibri"/>
      <family val="2"/>
    </font>
    <font>
      <b/>
      <vertAlign val="subscript"/>
      <sz val="11"/>
      <color theme="1"/>
      <name val="Calibri"/>
      <family val="2"/>
      <scheme val="minor"/>
    </font>
    <font>
      <b/>
      <vertAlign val="subscript"/>
      <sz val="11"/>
      <color rgb="FF000000"/>
      <name val="Calibri"/>
      <family val="2"/>
      <scheme val="minor"/>
    </font>
    <font>
      <b/>
      <vertAlign val="subscript"/>
      <sz val="9"/>
      <color rgb="FF000000"/>
      <name val="Calibri"/>
      <family val="2"/>
      <charset val="1"/>
    </font>
    <font>
      <b/>
      <sz val="9"/>
      <color rgb="FF000000"/>
      <name val="Calibri"/>
      <family val="2"/>
      <charset val="1"/>
    </font>
    <font>
      <vertAlign val="subscript"/>
      <sz val="9"/>
      <color rgb="FF000000"/>
      <name val="Calibri"/>
      <family val="2"/>
      <charset val="1"/>
    </font>
    <font>
      <sz val="9"/>
      <color rgb="FF000000"/>
      <name val="Calibri"/>
      <family val="2"/>
      <charset val="1"/>
    </font>
    <font>
      <b/>
      <vertAlign val="subscript"/>
      <sz val="11"/>
      <color rgb="FF000000"/>
      <name val="Calibri"/>
      <family val="2"/>
    </font>
    <font>
      <b/>
      <sz val="8"/>
      <color theme="1"/>
      <name val="Calibri"/>
      <family val="2"/>
      <scheme val="minor"/>
    </font>
    <font>
      <b/>
      <sz val="18"/>
      <color rgb="FF000000"/>
      <name val="Calibri"/>
      <family val="2"/>
    </font>
    <font>
      <i/>
      <sz val="11"/>
      <color theme="1"/>
      <name val="Calibri"/>
      <family val="2"/>
      <scheme val="minor"/>
    </font>
    <font>
      <u/>
      <sz val="9"/>
      <color rgb="FF0070C0"/>
      <name val="Calibri"/>
      <family val="2"/>
      <scheme val="minor"/>
    </font>
    <font>
      <vertAlign val="subscript"/>
      <sz val="9"/>
      <color rgb="FF000000"/>
      <name val="Calibri"/>
      <family val="2"/>
      <scheme val="minor"/>
    </font>
    <font>
      <b/>
      <sz val="9"/>
      <color rgb="FF000000"/>
      <name val="Calibri"/>
    </font>
    <font>
      <u/>
      <sz val="11"/>
      <name val="Calibri"/>
      <family val="2"/>
      <scheme val="minor"/>
    </font>
    <font>
      <u/>
      <sz val="11"/>
      <color theme="0"/>
      <name val="Calibri"/>
      <family val="2"/>
      <scheme val="minor"/>
    </font>
  </fonts>
  <fills count="41">
    <fill>
      <patternFill patternType="none"/>
    </fill>
    <fill>
      <patternFill patternType="gray125"/>
    </fill>
    <fill>
      <patternFill patternType="solid">
        <fgColor rgb="FFF0F0F0"/>
        <bgColor indexed="64"/>
      </patternFill>
    </fill>
    <fill>
      <patternFill patternType="solid">
        <fgColor theme="0"/>
        <bgColor indexed="64"/>
      </patternFill>
    </fill>
    <fill>
      <patternFill patternType="solid">
        <fgColor rgb="FFFFFFFF"/>
        <bgColor indexed="64"/>
      </patternFill>
    </fill>
    <fill>
      <patternFill patternType="solid">
        <fgColor rgb="FF7990A5"/>
        <bgColor indexed="64"/>
      </patternFill>
    </fill>
    <fill>
      <patternFill patternType="solid">
        <fgColor theme="1"/>
        <bgColor indexed="64"/>
      </patternFill>
    </fill>
    <fill>
      <patternFill patternType="solid">
        <fgColor rgb="FFA5BEB9"/>
        <bgColor indexed="64"/>
      </patternFill>
    </fill>
    <fill>
      <patternFill patternType="solid">
        <fgColor rgb="FFC9D1DB"/>
        <bgColor indexed="64"/>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79998168889431442"/>
        <bgColor indexed="64"/>
      </patternFill>
    </fill>
    <fill>
      <patternFill patternType="solid">
        <fgColor rgb="FFEDEDED"/>
        <bgColor indexed="64"/>
      </patternFill>
    </fill>
    <fill>
      <patternFill patternType="solid">
        <fgColor theme="6" tint="0.59996337778862885"/>
        <bgColor indexed="64"/>
      </patternFill>
    </fill>
    <fill>
      <patternFill patternType="solid">
        <fgColor rgb="FF3C6E87"/>
        <bgColor indexed="64"/>
      </patternFill>
    </fill>
    <fill>
      <patternFill patternType="solid">
        <fgColor rgb="FFAF1E2D"/>
        <bgColor indexed="64"/>
      </patternFill>
    </fill>
    <fill>
      <patternFill patternType="solid">
        <fgColor theme="6" tint="0.39994506668294322"/>
        <bgColor indexed="64"/>
      </patternFill>
    </fill>
    <fill>
      <patternFill patternType="solid">
        <fgColor theme="2" tint="-9.9948118533890809E-2"/>
        <bgColor indexed="64"/>
      </patternFill>
    </fill>
    <fill>
      <patternFill patternType="solid">
        <fgColor rgb="FFC6EFCE"/>
      </patternFill>
    </fill>
    <fill>
      <patternFill patternType="solid">
        <fgColor rgb="FFF2F2F2"/>
      </patternFill>
    </fill>
    <fill>
      <patternFill patternType="solid">
        <fgColor rgb="FFEDEDED"/>
        <bgColor rgb="FF000000"/>
      </patternFill>
    </fill>
    <fill>
      <patternFill patternType="solid">
        <fgColor rgb="FFFFFFFF"/>
        <bgColor rgb="FF000000"/>
      </patternFill>
    </fill>
    <fill>
      <patternFill patternType="solid">
        <fgColor theme="6"/>
        <bgColor indexed="64"/>
      </patternFill>
    </fill>
    <fill>
      <patternFill patternType="solid">
        <fgColor theme="0" tint="-4.9989318521683403E-2"/>
        <bgColor indexed="64"/>
      </patternFill>
    </fill>
    <fill>
      <patternFill patternType="solid">
        <fgColor rgb="FFD9D9D9"/>
        <bgColor rgb="FFD9D9D9"/>
      </patternFill>
    </fill>
    <fill>
      <patternFill patternType="solid">
        <fgColor rgb="FFD9D9D9"/>
        <bgColor rgb="FF000000"/>
      </patternFill>
    </fill>
    <fill>
      <patternFill patternType="solid">
        <fgColor rgb="FFFFFFFF"/>
        <bgColor rgb="FFD9D9D9"/>
      </patternFill>
    </fill>
    <fill>
      <patternFill patternType="solid">
        <fgColor rgb="FFA6A6A6"/>
        <bgColor rgb="FFD9D9D9"/>
      </patternFill>
    </fill>
    <fill>
      <patternFill patternType="solid">
        <fgColor rgb="FFA6A6A6"/>
        <bgColor rgb="FF000000"/>
      </patternFill>
    </fill>
    <fill>
      <patternFill patternType="solid">
        <fgColor rgb="FFC9D1DB"/>
        <bgColor rgb="FF000000"/>
      </patternFill>
    </fill>
    <fill>
      <patternFill patternType="solid">
        <fgColor rgb="FFDBDBDB"/>
        <bgColor rgb="FF000000"/>
      </patternFill>
    </fill>
    <fill>
      <patternFill patternType="solid">
        <fgColor rgb="FFF2F2F2"/>
        <bgColor rgb="FF000000"/>
      </patternFill>
    </fill>
    <fill>
      <patternFill patternType="solid">
        <fgColor theme="4" tint="0.79998168889431442"/>
        <bgColor indexed="65"/>
      </patternFill>
    </fill>
    <fill>
      <patternFill patternType="solid">
        <fgColor rgb="FFF2F2F2"/>
        <bgColor indexed="64"/>
      </patternFill>
    </fill>
    <fill>
      <patternFill patternType="solid">
        <fgColor rgb="FF002060"/>
        <bgColor indexed="64"/>
      </patternFill>
    </fill>
    <fill>
      <patternFill patternType="solid">
        <fgColor theme="4" tint="0.79998168889431442"/>
        <bgColor indexed="64"/>
      </patternFill>
    </fill>
    <fill>
      <patternFill patternType="solid">
        <fgColor rgb="FFE7E6E6"/>
        <bgColor indexed="64"/>
      </patternFill>
    </fill>
    <fill>
      <patternFill patternType="solid">
        <fgColor rgb="FFDBDBDB"/>
        <bgColor indexed="64"/>
      </patternFill>
    </fill>
    <fill>
      <patternFill patternType="solid">
        <fgColor rgb="FFEDEDED"/>
        <bgColor rgb="FFD9D9D9"/>
      </patternFill>
    </fill>
    <fill>
      <patternFill patternType="solid">
        <fgColor theme="2"/>
        <bgColor indexed="64"/>
      </patternFill>
    </fill>
    <fill>
      <patternFill patternType="solid">
        <fgColor theme="0"/>
        <bgColor rgb="FFD9E1F2"/>
      </patternFill>
    </fill>
  </fills>
  <borders count="125">
    <border>
      <left/>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style="thin">
        <color rgb="FF00B050"/>
      </left>
      <right style="thin">
        <color rgb="FF00B050"/>
      </right>
      <top style="thin">
        <color rgb="FF00B050"/>
      </top>
      <bottom/>
      <diagonal/>
    </border>
    <border>
      <left style="thin">
        <color theme="5"/>
      </left>
      <right style="thin">
        <color theme="5"/>
      </right>
      <top style="thin">
        <color theme="5"/>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hair">
        <color auto="1"/>
      </right>
      <top/>
      <bottom/>
      <diagonal/>
    </border>
    <border>
      <left style="hair">
        <color auto="1"/>
      </left>
      <right style="hair">
        <color auto="1"/>
      </right>
      <top/>
      <bottom/>
      <diagonal/>
    </border>
    <border>
      <left/>
      <right style="hair">
        <color auto="1"/>
      </right>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bottom style="thin">
        <color rgb="FF07094A"/>
      </bottom>
      <diagonal/>
    </border>
    <border>
      <left/>
      <right/>
      <top style="thin">
        <color rgb="FF07094A"/>
      </top>
      <bottom/>
      <diagonal/>
    </border>
    <border>
      <left/>
      <right/>
      <top style="medium">
        <color rgb="FF07094A"/>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rgb="FF7F7F7F"/>
      </left>
      <right style="thin">
        <color rgb="FF7F7F7F"/>
      </right>
      <top style="thin">
        <color rgb="FF7F7F7F"/>
      </top>
      <bottom style="thin">
        <color rgb="FF7F7F7F"/>
      </bottom>
      <diagonal/>
    </border>
    <border>
      <left/>
      <right/>
      <top style="thin">
        <color rgb="FF000000"/>
      </top>
      <bottom/>
      <diagonal/>
    </border>
    <border>
      <left/>
      <right/>
      <top/>
      <bottom style="thin">
        <color rgb="FF000000"/>
      </bottom>
      <diagonal/>
    </border>
    <border>
      <left/>
      <right/>
      <top style="thin">
        <color rgb="FFFFFFFF"/>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top style="thin">
        <color rgb="FF000000"/>
      </top>
      <bottom/>
      <diagonal/>
    </border>
    <border>
      <left/>
      <right/>
      <top/>
      <bottom style="medium">
        <color rgb="FFA5A5A5"/>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top/>
      <bottom style="thin">
        <color rgb="FFFFFFFF"/>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bottom style="medium">
        <color rgb="FFA5A5A5"/>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medium">
        <color rgb="FF07094A"/>
      </bottom>
      <diagonal/>
    </border>
    <border>
      <left/>
      <right/>
      <top style="thin">
        <color indexed="64"/>
      </top>
      <bottom style="medium">
        <color rgb="FF07094A"/>
      </bottom>
      <diagonal/>
    </border>
    <border>
      <left/>
      <right style="thin">
        <color indexed="64"/>
      </right>
      <top style="thin">
        <color indexed="64"/>
      </top>
      <bottom style="medium">
        <color rgb="FF07094A"/>
      </bottom>
      <diagonal/>
    </border>
    <border>
      <left/>
      <right style="thin">
        <color indexed="64"/>
      </right>
      <top style="medium">
        <color rgb="FF07094A"/>
      </top>
      <bottom/>
      <diagonal/>
    </border>
    <border>
      <left/>
      <right style="thin">
        <color indexed="64"/>
      </right>
      <top style="thin">
        <color rgb="FF000000"/>
      </top>
      <bottom style="thin">
        <color rgb="FF000000"/>
      </bottom>
      <diagonal/>
    </border>
    <border>
      <left/>
      <right style="thin">
        <color rgb="FF000000"/>
      </right>
      <top style="thin">
        <color indexed="64"/>
      </top>
      <bottom style="thin">
        <color rgb="FF000000"/>
      </bottom>
      <diagonal/>
    </border>
    <border>
      <left style="thin">
        <color rgb="FF000000"/>
      </left>
      <right style="thin">
        <color indexed="64"/>
      </right>
      <top/>
      <bottom style="thin">
        <color rgb="FF000000"/>
      </bottom>
      <diagonal/>
    </border>
    <border>
      <left/>
      <right style="thin">
        <color rgb="FF000000"/>
      </right>
      <top style="thin">
        <color rgb="FF000000"/>
      </top>
      <bottom style="thin">
        <color rgb="FF000000"/>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top style="thin">
        <color indexed="64"/>
      </top>
      <bottom/>
      <diagonal/>
    </border>
    <border>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bottom style="medium">
        <color rgb="FFA5A5A5"/>
      </bottom>
      <diagonal/>
    </border>
    <border>
      <left/>
      <right style="thin">
        <color indexed="64"/>
      </right>
      <top style="thin">
        <color indexed="64"/>
      </top>
      <bottom style="thin">
        <color rgb="FF000000"/>
      </bottom>
      <diagonal/>
    </border>
    <border>
      <left style="thin">
        <color indexed="64"/>
      </left>
      <right/>
      <top style="medium">
        <color rgb="FFA5A5A5"/>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diagonal/>
    </border>
    <border>
      <left style="thin">
        <color rgb="FF000000"/>
      </left>
      <right style="thin">
        <color indexed="64"/>
      </right>
      <top style="thin">
        <color indexed="64"/>
      </top>
      <bottom/>
      <diagonal/>
    </border>
    <border>
      <left style="thin">
        <color indexed="64"/>
      </left>
      <right style="thin">
        <color indexed="64"/>
      </right>
      <top style="medium">
        <color rgb="FFA5A5A5"/>
      </top>
      <bottom style="thin">
        <color rgb="FF000000"/>
      </bottom>
      <diagonal/>
    </border>
    <border>
      <left/>
      <right/>
      <top style="medium">
        <color rgb="FFA5A5A5"/>
      </top>
      <bottom style="thin">
        <color rgb="FF000000"/>
      </bottom>
      <diagonal/>
    </border>
    <border>
      <left style="thin">
        <color indexed="64"/>
      </left>
      <right/>
      <top style="medium">
        <color rgb="FFA5A5A5"/>
      </top>
      <bottom style="medium">
        <color rgb="FFA5A5A5"/>
      </bottom>
      <diagonal/>
    </border>
    <border>
      <left style="thin">
        <color rgb="FF000000"/>
      </left>
      <right/>
      <top style="thin">
        <color indexed="64"/>
      </top>
      <bottom style="medium">
        <color rgb="FFA5A5A5"/>
      </bottom>
      <diagonal/>
    </border>
    <border>
      <left style="thin">
        <color indexed="64"/>
      </left>
      <right style="thin">
        <color indexed="64"/>
      </right>
      <top style="thin">
        <color indexed="64"/>
      </top>
      <bottom style="medium">
        <color rgb="FFA5A5A5"/>
      </bottom>
      <diagonal/>
    </border>
    <border>
      <left style="thin">
        <color indexed="64"/>
      </left>
      <right/>
      <top style="medium">
        <color rgb="FFA5A5A5"/>
      </top>
      <bottom/>
      <diagonal/>
    </border>
    <border>
      <left style="thin">
        <color rgb="FF000000"/>
      </left>
      <right/>
      <top style="medium">
        <color rgb="FFA5A5A5"/>
      </top>
      <bottom/>
      <diagonal/>
    </border>
    <border>
      <left style="thin">
        <color rgb="FF000000"/>
      </left>
      <right style="thin">
        <color rgb="FF000000"/>
      </right>
      <top style="medium">
        <color rgb="FFA5A5A5"/>
      </top>
      <bottom/>
      <diagonal/>
    </border>
    <border>
      <left/>
      <right style="thin">
        <color rgb="FF000000"/>
      </right>
      <top style="medium">
        <color rgb="FFA5A5A5"/>
      </top>
      <bottom/>
      <diagonal/>
    </border>
    <border>
      <left/>
      <right/>
      <top style="medium">
        <color rgb="FFA5A5A5"/>
      </top>
      <bottom/>
      <diagonal/>
    </border>
    <border>
      <left style="thin">
        <color indexed="64"/>
      </left>
      <right style="thin">
        <color indexed="64"/>
      </right>
      <top style="medium">
        <color rgb="FFA5A5A5"/>
      </top>
      <bottom/>
      <diagonal/>
    </border>
    <border>
      <left style="thin">
        <color indexed="64"/>
      </left>
      <right/>
      <top style="thin">
        <color indexed="64"/>
      </top>
      <bottom style="medium">
        <color rgb="FFA5A5A5"/>
      </bottom>
      <diagonal/>
    </border>
    <border>
      <left style="medium">
        <color rgb="FFA5A5A5"/>
      </left>
      <right style="thin">
        <color indexed="64"/>
      </right>
      <top style="medium">
        <color rgb="FFA5A5A5"/>
      </top>
      <bottom/>
      <diagonal/>
    </border>
    <border>
      <left style="medium">
        <color rgb="FFA5A5A5"/>
      </left>
      <right style="thin">
        <color indexed="64"/>
      </right>
      <top/>
      <bottom/>
      <diagonal/>
    </border>
    <border>
      <left style="medium">
        <color rgb="FFA5A5A5"/>
      </left>
      <right style="thin">
        <color indexed="64"/>
      </right>
      <top/>
      <bottom style="thin">
        <color indexed="64"/>
      </bottom>
      <diagonal/>
    </border>
    <border>
      <left style="thin">
        <color indexed="64"/>
      </left>
      <right style="thin">
        <color rgb="FF000000"/>
      </right>
      <top/>
      <bottom style="thin">
        <color indexed="64"/>
      </bottom>
      <diagonal/>
    </border>
  </borders>
  <cellStyleXfs count="9">
    <xf numFmtId="0" fontId="0" fillId="0" borderId="0"/>
    <xf numFmtId="43" fontId="5" fillId="0" borderId="0" applyFont="0" applyFill="0" applyBorder="0" applyAlignment="0" applyProtection="0"/>
    <xf numFmtId="0" fontId="7" fillId="0" borderId="0" applyNumberFormat="0" applyFill="0" applyBorder="0" applyAlignment="0" applyProtection="0"/>
    <xf numFmtId="0" fontId="5" fillId="9" borderId="0" applyNumberFormat="0" applyBorder="0" applyAlignment="0" applyProtection="0"/>
    <xf numFmtId="0" fontId="5" fillId="10" borderId="0" applyNumberFormat="0" applyBorder="0" applyAlignment="0" applyProtection="0"/>
    <xf numFmtId="9" fontId="5" fillId="0" borderId="0" applyFont="0" applyFill="0" applyBorder="0" applyAlignment="0" applyProtection="0"/>
    <xf numFmtId="0" fontId="31" fillId="19" borderId="29" applyNumberFormat="0" applyAlignment="0" applyProtection="0"/>
    <xf numFmtId="0" fontId="32" fillId="18" borderId="0" applyNumberFormat="0" applyBorder="0" applyAlignment="0" applyProtection="0"/>
    <xf numFmtId="0" fontId="5" fillId="32" borderId="0" applyNumberFormat="0" applyBorder="0" applyAlignment="0" applyProtection="0"/>
  </cellStyleXfs>
  <cellXfs count="1646">
    <xf numFmtId="0" fontId="0" fillId="0" borderId="0" xfId="0"/>
    <xf numFmtId="0" fontId="0" fillId="3" borderId="0" xfId="0" applyFill="1"/>
    <xf numFmtId="0" fontId="4" fillId="0" borderId="0" xfId="0" applyFont="1"/>
    <xf numFmtId="0" fontId="0" fillId="3" borderId="0" xfId="0" applyFill="1" applyAlignment="1">
      <alignment horizontal="right"/>
    </xf>
    <xf numFmtId="0" fontId="12" fillId="0" borderId="0" xfId="2" applyFont="1" applyBorder="1" applyAlignment="1">
      <alignment vertical="center"/>
    </xf>
    <xf numFmtId="0" fontId="9" fillId="5" borderId="0" xfId="0" applyFont="1" applyFill="1"/>
    <xf numFmtId="0" fontId="9" fillId="6" borderId="0" xfId="0" applyFont="1" applyFill="1"/>
    <xf numFmtId="0" fontId="13" fillId="7" borderId="4" xfId="0" applyFont="1" applyFill="1" applyBorder="1" applyAlignment="1">
      <alignment vertical="center"/>
    </xf>
    <xf numFmtId="0" fontId="15" fillId="8" borderId="1" xfId="0" applyFont="1" applyFill="1" applyBorder="1"/>
    <xf numFmtId="0" fontId="1" fillId="0" borderId="0" xfId="0" applyFont="1" applyAlignment="1">
      <alignment horizontal="left" vertical="center" wrapText="1" readingOrder="1"/>
    </xf>
    <xf numFmtId="0" fontId="16" fillId="0" borderId="0" xfId="2" applyFont="1" applyFill="1"/>
    <xf numFmtId="2" fontId="11" fillId="0" borderId="0" xfId="0" quotePrefix="1" applyNumberFormat="1" applyFont="1" applyAlignment="1">
      <alignment horizontal="center" vertical="center"/>
    </xf>
    <xf numFmtId="0" fontId="11" fillId="0" borderId="0" xfId="0" applyFont="1" applyAlignment="1">
      <alignment horizontal="center" vertical="center"/>
    </xf>
    <xf numFmtId="2" fontId="11" fillId="0" borderId="0" xfId="0" applyNumberFormat="1" applyFont="1" applyAlignment="1">
      <alignment horizontal="center" vertical="center"/>
    </xf>
    <xf numFmtId="0" fontId="17" fillId="0" borderId="0" xfId="0" applyFont="1" applyAlignment="1">
      <alignment vertical="center"/>
    </xf>
    <xf numFmtId="0" fontId="17" fillId="9" borderId="9" xfId="3" applyFont="1" applyBorder="1" applyAlignment="1">
      <alignment vertical="center" wrapText="1"/>
    </xf>
    <xf numFmtId="0" fontId="11" fillId="0" borderId="12" xfId="3" quotePrefix="1" applyFont="1" applyFill="1" applyBorder="1" applyAlignment="1">
      <alignment horizontal="left" vertical="center"/>
    </xf>
    <xf numFmtId="0" fontId="11" fillId="11" borderId="12" xfId="3" quotePrefix="1" applyFont="1" applyFill="1" applyBorder="1" applyAlignment="1">
      <alignment horizontal="left" vertical="center"/>
    </xf>
    <xf numFmtId="0" fontId="0" fillId="11" borderId="0" xfId="0" applyFill="1"/>
    <xf numFmtId="0" fontId="17" fillId="0" borderId="9" xfId="0" applyFont="1" applyBorder="1" applyAlignment="1">
      <alignment horizontal="left" vertical="center"/>
    </xf>
    <xf numFmtId="0" fontId="11" fillId="11" borderId="0" xfId="0" applyFont="1" applyFill="1" applyAlignment="1">
      <alignment horizontal="left" vertical="center"/>
    </xf>
    <xf numFmtId="0" fontId="11" fillId="11" borderId="12" xfId="3" applyFont="1" applyFill="1" applyBorder="1" applyAlignment="1">
      <alignment horizontal="left" vertical="center"/>
    </xf>
    <xf numFmtId="0" fontId="17" fillId="0" borderId="12" xfId="3" applyFont="1" applyFill="1" applyBorder="1" applyAlignment="1">
      <alignment vertical="center" wrapText="1"/>
    </xf>
    <xf numFmtId="0" fontId="10" fillId="0" borderId="0" xfId="4" applyFont="1" applyFill="1" applyAlignment="1">
      <alignment horizontal="left" vertical="center"/>
    </xf>
    <xf numFmtId="0" fontId="11" fillId="0" borderId="0" xfId="0" applyFont="1" applyAlignment="1">
      <alignment horizontal="center"/>
    </xf>
    <xf numFmtId="0" fontId="0" fillId="0" borderId="0" xfId="0" applyAlignment="1">
      <alignment horizontal="right"/>
    </xf>
    <xf numFmtId="0" fontId="11" fillId="0" borderId="0" xfId="0" applyFont="1"/>
    <xf numFmtId="0" fontId="19" fillId="5" borderId="0" xfId="0" applyFont="1" applyFill="1" applyAlignment="1">
      <alignment horizontal="left" vertical="center"/>
    </xf>
    <xf numFmtId="49" fontId="11" fillId="0" borderId="0" xfId="3" applyNumberFormat="1" applyFont="1" applyFill="1" applyAlignment="1">
      <alignment horizontal="left" vertical="center" wrapText="1"/>
    </xf>
    <xf numFmtId="0" fontId="9" fillId="15" borderId="5" xfId="0" applyFont="1" applyFill="1" applyBorder="1" applyAlignment="1">
      <alignment vertical="center"/>
    </xf>
    <xf numFmtId="2" fontId="11" fillId="0" borderId="0" xfId="3" quotePrefix="1" applyNumberFormat="1" applyFont="1" applyFill="1" applyBorder="1" applyAlignment="1">
      <alignment horizontal="center" vertical="center"/>
    </xf>
    <xf numFmtId="0" fontId="21" fillId="0" borderId="0" xfId="2" applyFont="1" applyFill="1"/>
    <xf numFmtId="0" fontId="11" fillId="0" borderId="0" xfId="0" applyFont="1" applyAlignment="1">
      <alignment vertical="center"/>
    </xf>
    <xf numFmtId="0" fontId="23" fillId="0" borderId="0" xfId="2" applyFont="1" applyAlignment="1">
      <alignment vertical="center"/>
    </xf>
    <xf numFmtId="0" fontId="13" fillId="16" borderId="0" xfId="2" applyFont="1" applyFill="1" applyAlignment="1">
      <alignment vertical="center"/>
    </xf>
    <xf numFmtId="0" fontId="25" fillId="9" borderId="0" xfId="2" applyFont="1" applyFill="1" applyAlignment="1">
      <alignment vertical="center"/>
    </xf>
    <xf numFmtId="0" fontId="25" fillId="9" borderId="0" xfId="3" applyNumberFormat="1" applyFont="1" applyBorder="1" applyAlignment="1">
      <alignment horizontal="left" vertical="center" wrapText="1"/>
    </xf>
    <xf numFmtId="0" fontId="25" fillId="9" borderId="0" xfId="3" applyFont="1" applyAlignment="1">
      <alignment horizontal="left" vertical="center" wrapText="1"/>
    </xf>
    <xf numFmtId="0" fontId="25" fillId="0" borderId="0" xfId="2" applyFont="1" applyFill="1" applyAlignment="1">
      <alignment vertical="center" wrapText="1"/>
    </xf>
    <xf numFmtId="2" fontId="25" fillId="4" borderId="0" xfId="0" applyNumberFormat="1" applyFont="1" applyFill="1" applyAlignment="1">
      <alignment horizontal="left" vertical="center" wrapText="1"/>
    </xf>
    <xf numFmtId="0" fontId="25" fillId="4" borderId="0" xfId="2" applyFont="1" applyFill="1" applyBorder="1" applyAlignment="1">
      <alignment horizontal="left" vertical="center" wrapText="1"/>
    </xf>
    <xf numFmtId="0" fontId="25" fillId="0" borderId="0" xfId="1" applyNumberFormat="1" applyFont="1" applyFill="1" applyBorder="1" applyAlignment="1">
      <alignment horizontal="left" vertical="center"/>
    </xf>
    <xf numFmtId="0" fontId="25" fillId="0" borderId="0" xfId="1" applyNumberFormat="1" applyFont="1" applyFill="1" applyBorder="1" applyAlignment="1">
      <alignment horizontal="left" vertical="center" wrapText="1"/>
    </xf>
    <xf numFmtId="0" fontId="25" fillId="11" borderId="0" xfId="1" applyNumberFormat="1" applyFont="1" applyFill="1" applyBorder="1" applyAlignment="1">
      <alignment horizontal="left" vertical="center" wrapText="1"/>
    </xf>
    <xf numFmtId="0" fontId="25" fillId="0" borderId="0" xfId="3" applyNumberFormat="1" applyFont="1" applyFill="1" applyBorder="1" applyAlignment="1">
      <alignment horizontal="left" vertical="center"/>
    </xf>
    <xf numFmtId="0" fontId="25" fillId="0" borderId="0" xfId="3" applyNumberFormat="1" applyFont="1" applyFill="1" applyBorder="1" applyAlignment="1">
      <alignment horizontal="left" vertical="center" wrapText="1"/>
    </xf>
    <xf numFmtId="0" fontId="25" fillId="0" borderId="0" xfId="3" quotePrefix="1" applyFont="1" applyFill="1" applyBorder="1" applyAlignment="1">
      <alignment horizontal="left" vertical="center"/>
    </xf>
    <xf numFmtId="0" fontId="25" fillId="11" borderId="0" xfId="0" applyFont="1" applyFill="1" applyAlignment="1">
      <alignment vertical="center" wrapText="1"/>
    </xf>
    <xf numFmtId="0" fontId="25" fillId="0" borderId="0" xfId="3" quotePrefix="1" applyFont="1" applyFill="1" applyBorder="1" applyAlignment="1">
      <alignment horizontal="left" vertical="center" wrapText="1"/>
    </xf>
    <xf numFmtId="0" fontId="25" fillId="9" borderId="0" xfId="3" applyFont="1" applyAlignment="1">
      <alignment horizontal="left" vertical="center"/>
    </xf>
    <xf numFmtId="0" fontId="25" fillId="0" borderId="0" xfId="2" quotePrefix="1" applyFont="1" applyFill="1" applyBorder="1" applyAlignment="1">
      <alignment horizontal="left" vertical="center"/>
    </xf>
    <xf numFmtId="0" fontId="25" fillId="0" borderId="0" xfId="0" quotePrefix="1" applyFont="1" applyAlignment="1">
      <alignment vertical="center"/>
    </xf>
    <xf numFmtId="0" fontId="25" fillId="0" borderId="0" xfId="0" applyFont="1" applyAlignment="1">
      <alignment vertical="center" wrapText="1"/>
    </xf>
    <xf numFmtId="0" fontId="25" fillId="11" borderId="0" xfId="0" applyFont="1" applyFill="1" applyAlignment="1">
      <alignment horizontal="left" vertical="center"/>
    </xf>
    <xf numFmtId="2" fontId="25" fillId="9" borderId="0" xfId="3" applyNumberFormat="1" applyFont="1" applyBorder="1" applyAlignment="1">
      <alignment horizontal="left" vertical="center" wrapText="1"/>
    </xf>
    <xf numFmtId="0" fontId="25" fillId="9" borderId="0" xfId="2" applyFont="1" applyFill="1" applyAlignment="1">
      <alignment vertical="center" wrapText="1"/>
    </xf>
    <xf numFmtId="0" fontId="25" fillId="0" borderId="0" xfId="2" quotePrefix="1" applyFont="1" applyFill="1" applyAlignment="1">
      <alignment vertical="center"/>
    </xf>
    <xf numFmtId="0" fontId="25" fillId="11" borderId="0" xfId="0" quotePrefix="1" applyFont="1" applyFill="1" applyAlignment="1">
      <alignment vertical="center"/>
    </xf>
    <xf numFmtId="0" fontId="25" fillId="11" borderId="0" xfId="2" applyFont="1" applyFill="1" applyAlignment="1">
      <alignment vertical="center" wrapText="1"/>
    </xf>
    <xf numFmtId="0" fontId="25" fillId="11" borderId="0" xfId="0" applyFont="1" applyFill="1" applyAlignment="1">
      <alignment vertical="center"/>
    </xf>
    <xf numFmtId="0" fontId="25" fillId="0" borderId="0" xfId="0" applyFont="1" applyAlignment="1">
      <alignment vertical="center"/>
    </xf>
    <xf numFmtId="0" fontId="25" fillId="4" borderId="0" xfId="2" quotePrefix="1" applyFont="1" applyFill="1" applyBorder="1" applyAlignment="1">
      <alignment horizontal="left" vertical="center" wrapText="1"/>
    </xf>
    <xf numFmtId="0" fontId="25" fillId="11" borderId="0" xfId="0" quotePrefix="1" applyFont="1" applyFill="1" applyAlignment="1">
      <alignment vertical="center" wrapText="1"/>
    </xf>
    <xf numFmtId="0" fontId="25" fillId="0" borderId="0" xfId="0" quotePrefix="1" applyFont="1" applyAlignment="1">
      <alignment vertical="center" wrapText="1"/>
    </xf>
    <xf numFmtId="0" fontId="25" fillId="9" borderId="0" xfId="3" quotePrefix="1" applyFont="1" applyBorder="1" applyAlignment="1">
      <alignment horizontal="left" vertical="center" wrapText="1"/>
    </xf>
    <xf numFmtId="0" fontId="0" fillId="0" borderId="0" xfId="0" applyAlignment="1">
      <alignment horizontal="center"/>
    </xf>
    <xf numFmtId="0" fontId="25" fillId="9" borderId="0" xfId="3" applyNumberFormat="1" applyFont="1" applyBorder="1" applyAlignment="1">
      <alignment horizontal="center" vertical="center"/>
    </xf>
    <xf numFmtId="0" fontId="25" fillId="4" borderId="0" xfId="0" applyFont="1" applyFill="1" applyAlignment="1">
      <alignment horizontal="center" vertical="center" wrapText="1"/>
    </xf>
    <xf numFmtId="0" fontId="25" fillId="0" borderId="0" xfId="1" applyNumberFormat="1" applyFont="1" applyFill="1" applyBorder="1" applyAlignment="1">
      <alignment horizontal="center" vertical="center"/>
    </xf>
    <xf numFmtId="0" fontId="25" fillId="11" borderId="0" xfId="1" applyNumberFormat="1" applyFont="1" applyFill="1" applyBorder="1" applyAlignment="1">
      <alignment horizontal="center" vertical="center"/>
    </xf>
    <xf numFmtId="0" fontId="25" fillId="0" borderId="0" xfId="3" applyNumberFormat="1" applyFont="1" applyFill="1" applyBorder="1" applyAlignment="1">
      <alignment horizontal="center" vertical="center"/>
    </xf>
    <xf numFmtId="49" fontId="25" fillId="11" borderId="0" xfId="1" applyNumberFormat="1" applyFont="1" applyFill="1" applyBorder="1" applyAlignment="1">
      <alignment horizontal="center" vertical="center" wrapText="1"/>
    </xf>
    <xf numFmtId="0" fontId="25" fillId="11" borderId="0" xfId="0" applyFont="1" applyFill="1" applyAlignment="1">
      <alignment horizontal="center" vertical="center"/>
    </xf>
    <xf numFmtId="0" fontId="25" fillId="11" borderId="0" xfId="3" applyNumberFormat="1" applyFont="1" applyFill="1" applyBorder="1" applyAlignment="1">
      <alignment horizontal="center" vertical="center"/>
    </xf>
    <xf numFmtId="0" fontId="25" fillId="0" borderId="0" xfId="0" applyFont="1" applyAlignment="1">
      <alignment horizontal="center" vertical="center"/>
    </xf>
    <xf numFmtId="49" fontId="25" fillId="11" borderId="0" xfId="1" applyNumberFormat="1" applyFont="1" applyFill="1" applyBorder="1" applyAlignment="1">
      <alignment horizontal="center" vertical="center"/>
    </xf>
    <xf numFmtId="0" fontId="25" fillId="9" borderId="0" xfId="3" applyFont="1" applyBorder="1" applyAlignment="1">
      <alignment horizontal="left" vertical="center" wrapText="1"/>
    </xf>
    <xf numFmtId="0" fontId="11" fillId="0" borderId="0" xfId="0" applyFont="1" applyAlignment="1">
      <alignment vertical="center" wrapText="1"/>
    </xf>
    <xf numFmtId="0" fontId="25" fillId="0" borderId="0" xfId="2" applyFont="1" applyAlignment="1">
      <alignment vertical="center" wrapText="1"/>
    </xf>
    <xf numFmtId="0" fontId="11" fillId="0" borderId="12" xfId="0" applyFont="1" applyBorder="1" applyAlignment="1">
      <alignment horizontal="left" vertical="center"/>
    </xf>
    <xf numFmtId="0" fontId="17" fillId="4" borderId="9" xfId="0" applyFont="1" applyFill="1" applyBorder="1" applyAlignment="1">
      <alignment horizontal="right" vertical="center" wrapText="1"/>
    </xf>
    <xf numFmtId="0" fontId="17" fillId="4" borderId="10" xfId="0" applyFont="1" applyFill="1" applyBorder="1" applyAlignment="1">
      <alignment horizontal="right" vertical="center" wrapText="1"/>
    </xf>
    <xf numFmtId="3" fontId="17" fillId="9" borderId="10" xfId="3" applyNumberFormat="1" applyFont="1" applyBorder="1" applyAlignment="1">
      <alignment horizontal="right" vertical="center" wrapText="1"/>
    </xf>
    <xf numFmtId="9" fontId="22" fillId="20" borderId="13" xfId="0" applyNumberFormat="1" applyFont="1" applyFill="1" applyBorder="1" applyAlignment="1">
      <alignment horizontal="right" vertical="center" wrapText="1"/>
    </xf>
    <xf numFmtId="9" fontId="22" fillId="0" borderId="12" xfId="0" applyNumberFormat="1" applyFont="1" applyBorder="1" applyAlignment="1">
      <alignment horizontal="right" vertical="center"/>
    </xf>
    <xf numFmtId="9" fontId="22" fillId="0" borderId="13" xfId="0" applyNumberFormat="1" applyFont="1" applyBorder="1" applyAlignment="1">
      <alignment horizontal="right" vertical="center"/>
    </xf>
    <xf numFmtId="9" fontId="22" fillId="20" borderId="13" xfId="0" applyNumberFormat="1" applyFont="1" applyFill="1" applyBorder="1" applyAlignment="1">
      <alignment horizontal="right" vertical="center"/>
    </xf>
    <xf numFmtId="3" fontId="11" fillId="0" borderId="13" xfId="3" applyNumberFormat="1" applyFont="1" applyFill="1" applyBorder="1" applyAlignment="1">
      <alignment horizontal="right" vertical="center"/>
    </xf>
    <xf numFmtId="9" fontId="11" fillId="0" borderId="13" xfId="3" quotePrefix="1" applyNumberFormat="1" applyFont="1" applyFill="1" applyBorder="1" applyAlignment="1">
      <alignment horizontal="right" vertical="center"/>
    </xf>
    <xf numFmtId="0" fontId="17" fillId="0" borderId="10" xfId="0" applyFont="1" applyBorder="1" applyAlignment="1">
      <alignment horizontal="right" vertical="center" wrapText="1"/>
    </xf>
    <xf numFmtId="3" fontId="11" fillId="9" borderId="13" xfId="3" applyNumberFormat="1" applyFont="1" applyBorder="1" applyAlignment="1">
      <alignment horizontal="right" vertical="center"/>
    </xf>
    <xf numFmtId="3" fontId="11" fillId="0" borderId="13" xfId="0" applyNumberFormat="1" applyFont="1" applyBorder="1" applyAlignment="1">
      <alignment horizontal="right" vertical="center"/>
    </xf>
    <xf numFmtId="0" fontId="11" fillId="0" borderId="0" xfId="0" applyFont="1" applyAlignment="1">
      <alignment horizontal="right"/>
    </xf>
    <xf numFmtId="2" fontId="11" fillId="0" borderId="0" xfId="0" quotePrefix="1" applyNumberFormat="1" applyFont="1" applyAlignment="1">
      <alignment horizontal="right" vertical="center"/>
    </xf>
    <xf numFmtId="2" fontId="11" fillId="0" borderId="0" xfId="0" applyNumberFormat="1" applyFont="1" applyAlignment="1">
      <alignment horizontal="right" vertical="center"/>
    </xf>
    <xf numFmtId="0" fontId="2" fillId="0" borderId="0" xfId="0" applyFont="1" applyAlignment="1">
      <alignment horizontal="left" vertical="center" wrapText="1" readingOrder="1"/>
    </xf>
    <xf numFmtId="2" fontId="11" fillId="0" borderId="0" xfId="3" quotePrefix="1" applyNumberFormat="1" applyFont="1" applyFill="1" applyBorder="1" applyAlignment="1">
      <alignment horizontal="right" vertical="center"/>
    </xf>
    <xf numFmtId="3" fontId="11" fillId="0" borderId="0" xfId="3" applyNumberFormat="1" applyFont="1" applyFill="1" applyBorder="1" applyAlignment="1">
      <alignment horizontal="right" vertical="center"/>
    </xf>
    <xf numFmtId="3" fontId="11" fillId="0" borderId="0" xfId="3" quotePrefix="1" applyNumberFormat="1" applyFont="1" applyFill="1" applyBorder="1" applyAlignment="1">
      <alignment horizontal="right" vertical="center"/>
    </xf>
    <xf numFmtId="0" fontId="11" fillId="0" borderId="0" xfId="0" quotePrefix="1" applyFont="1" applyAlignment="1">
      <alignment vertical="center" wrapText="1"/>
    </xf>
    <xf numFmtId="0" fontId="11" fillId="0" borderId="0" xfId="3" quotePrefix="1" applyFont="1" applyFill="1" applyBorder="1" applyAlignment="1">
      <alignment horizontal="left" vertical="center"/>
    </xf>
    <xf numFmtId="0" fontId="11" fillId="12" borderId="0" xfId="0" applyFont="1" applyFill="1" applyAlignment="1">
      <alignment horizontal="left" vertical="center"/>
    </xf>
    <xf numFmtId="4" fontId="11" fillId="0" borderId="0" xfId="3" applyNumberFormat="1" applyFont="1" applyFill="1" applyBorder="1" applyAlignment="1">
      <alignment horizontal="center" vertical="center"/>
    </xf>
    <xf numFmtId="49" fontId="25" fillId="0" borderId="0" xfId="0" applyNumberFormat="1" applyFont="1" applyAlignment="1">
      <alignment horizontal="left" vertical="center" wrapText="1"/>
    </xf>
    <xf numFmtId="4" fontId="11" fillId="0" borderId="0" xfId="3" applyNumberFormat="1" applyFont="1" applyFill="1" applyBorder="1" applyAlignment="1">
      <alignment horizontal="right" vertical="center"/>
    </xf>
    <xf numFmtId="1" fontId="17" fillId="0" borderId="8" xfId="0" applyNumberFormat="1" applyFont="1" applyBorder="1" applyAlignment="1">
      <alignment horizontal="right" vertical="center" wrapText="1"/>
    </xf>
    <xf numFmtId="1" fontId="17" fillId="0" borderId="7" xfId="0" applyNumberFormat="1" applyFont="1" applyBorder="1" applyAlignment="1">
      <alignment horizontal="right" vertical="center" wrapText="1"/>
    </xf>
    <xf numFmtId="2" fontId="11" fillId="0" borderId="0" xfId="3" applyNumberFormat="1" applyFont="1" applyFill="1" applyBorder="1" applyAlignment="1">
      <alignment horizontal="right" vertical="center"/>
    </xf>
    <xf numFmtId="0" fontId="11" fillId="11" borderId="12" xfId="0" applyFont="1" applyFill="1" applyBorder="1" applyAlignment="1">
      <alignment horizontal="left" vertical="center" wrapText="1"/>
    </xf>
    <xf numFmtId="0" fontId="11" fillId="11" borderId="12" xfId="0" quotePrefix="1" applyFont="1" applyFill="1" applyBorder="1" applyAlignment="1">
      <alignment horizontal="left" vertical="center" wrapText="1"/>
    </xf>
    <xf numFmtId="3" fontId="11" fillId="4" borderId="13" xfId="0" applyNumberFormat="1" applyFont="1" applyFill="1" applyBorder="1" applyAlignment="1">
      <alignment horizontal="right" vertical="center" wrapText="1"/>
    </xf>
    <xf numFmtId="3" fontId="11" fillId="9" borderId="3" xfId="3" applyNumberFormat="1" applyFont="1" applyBorder="1" applyAlignment="1">
      <alignment horizontal="right" vertical="center"/>
    </xf>
    <xf numFmtId="3" fontId="17" fillId="9" borderId="8" xfId="3" applyNumberFormat="1" applyFont="1" applyBorder="1" applyAlignment="1">
      <alignment horizontal="right" vertical="center" wrapText="1"/>
    </xf>
    <xf numFmtId="0" fontId="11" fillId="11" borderId="36" xfId="3" quotePrefix="1" applyFont="1" applyFill="1" applyBorder="1" applyAlignment="1">
      <alignment horizontal="left" vertical="center"/>
    </xf>
    <xf numFmtId="9" fontId="11" fillId="0" borderId="0" xfId="3" quotePrefix="1" applyNumberFormat="1" applyFont="1" applyFill="1" applyBorder="1" applyAlignment="1">
      <alignment horizontal="right" vertical="center"/>
    </xf>
    <xf numFmtId="9" fontId="17" fillId="12" borderId="10" xfId="0" applyNumberFormat="1" applyFont="1" applyFill="1" applyBorder="1" applyAlignment="1">
      <alignment horizontal="right" vertical="center"/>
    </xf>
    <xf numFmtId="0" fontId="11" fillId="12" borderId="12" xfId="3" quotePrefix="1" applyFont="1" applyFill="1" applyBorder="1" applyAlignment="1">
      <alignment horizontal="left" vertical="center"/>
    </xf>
    <xf numFmtId="9" fontId="22" fillId="0" borderId="13" xfId="0" applyNumberFormat="1" applyFont="1" applyBorder="1" applyAlignment="1">
      <alignment horizontal="right" vertical="center" wrapText="1"/>
    </xf>
    <xf numFmtId="0" fontId="11" fillId="0" borderId="12" xfId="3" applyFont="1" applyFill="1" applyBorder="1" applyAlignment="1">
      <alignment horizontal="left" vertical="center"/>
    </xf>
    <xf numFmtId="9" fontId="22" fillId="12" borderId="12" xfId="0" applyNumberFormat="1" applyFont="1" applyFill="1" applyBorder="1" applyAlignment="1">
      <alignment horizontal="right" vertical="center"/>
    </xf>
    <xf numFmtId="9" fontId="22" fillId="12" borderId="13" xfId="0" applyNumberFormat="1" applyFont="1" applyFill="1" applyBorder="1" applyAlignment="1">
      <alignment horizontal="right" vertical="center"/>
    </xf>
    <xf numFmtId="166" fontId="17" fillId="9" borderId="10" xfId="3" applyNumberFormat="1" applyFont="1" applyBorder="1" applyAlignment="1">
      <alignment vertical="center" wrapText="1"/>
    </xf>
    <xf numFmtId="9" fontId="17" fillId="9" borderId="10" xfId="3" applyNumberFormat="1" applyFont="1" applyBorder="1" applyAlignment="1">
      <alignment horizontal="right" vertical="center" wrapText="1"/>
    </xf>
    <xf numFmtId="166" fontId="17" fillId="9" borderId="8" xfId="3" applyNumberFormat="1" applyFont="1" applyBorder="1" applyAlignment="1">
      <alignment horizontal="right" vertical="center" wrapText="1"/>
    </xf>
    <xf numFmtId="165" fontId="17" fillId="9" borderId="10" xfId="3" applyNumberFormat="1" applyFont="1" applyBorder="1" applyAlignment="1">
      <alignment horizontal="right" vertical="center" wrapText="1"/>
    </xf>
    <xf numFmtId="2" fontId="17" fillId="0" borderId="0" xfId="3" quotePrefix="1" applyNumberFormat="1" applyFont="1" applyFill="1" applyBorder="1" applyAlignment="1">
      <alignment horizontal="right" vertical="center"/>
    </xf>
    <xf numFmtId="0" fontId="17" fillId="0" borderId="0" xfId="3" quotePrefix="1" applyFont="1" applyFill="1" applyBorder="1" applyAlignment="1">
      <alignment horizontal="right" vertical="center"/>
    </xf>
    <xf numFmtId="0" fontId="11" fillId="0" borderId="0" xfId="3" applyFont="1" applyFill="1" applyBorder="1" applyAlignment="1">
      <alignment horizontal="right" vertical="center"/>
    </xf>
    <xf numFmtId="0" fontId="10" fillId="0" borderId="0" xfId="4" applyFont="1" applyFill="1" applyBorder="1" applyAlignment="1">
      <alignment horizontal="left" vertical="center"/>
    </xf>
    <xf numFmtId="0" fontId="17" fillId="0" borderId="0" xfId="0" applyFont="1" applyAlignment="1">
      <alignment horizontal="right" vertical="center" wrapText="1"/>
    </xf>
    <xf numFmtId="1" fontId="17" fillId="0" borderId="0" xfId="0" applyNumberFormat="1" applyFont="1" applyAlignment="1">
      <alignment horizontal="right" vertical="center" wrapText="1"/>
    </xf>
    <xf numFmtId="0" fontId="11" fillId="0" borderId="0" xfId="3" applyFont="1" applyFill="1" applyBorder="1" applyAlignment="1">
      <alignment horizontal="right" vertical="center" wrapText="1"/>
    </xf>
    <xf numFmtId="0" fontId="11" fillId="0" borderId="0" xfId="0" applyFont="1" applyAlignment="1">
      <alignment horizontal="right" vertical="center"/>
    </xf>
    <xf numFmtId="0" fontId="17" fillId="0" borderId="42" xfId="0" applyFont="1" applyBorder="1" applyAlignment="1">
      <alignment horizontal="right" vertical="center"/>
    </xf>
    <xf numFmtId="0" fontId="17" fillId="11" borderId="0" xfId="0" applyFont="1" applyFill="1" applyAlignment="1">
      <alignment horizontal="left" vertical="center"/>
    </xf>
    <xf numFmtId="9" fontId="17" fillId="9" borderId="8" xfId="3" applyNumberFormat="1" applyFont="1" applyBorder="1" applyAlignment="1">
      <alignment horizontal="right" vertical="center" wrapText="1"/>
    </xf>
    <xf numFmtId="4" fontId="17" fillId="9" borderId="10" xfId="3" applyNumberFormat="1" applyFont="1" applyBorder="1" applyAlignment="1">
      <alignment horizontal="right" vertical="center" wrapText="1"/>
    </xf>
    <xf numFmtId="4" fontId="22" fillId="0" borderId="13" xfId="0" applyNumberFormat="1" applyFont="1" applyBorder="1" applyAlignment="1">
      <alignment horizontal="right" vertical="center"/>
    </xf>
    <xf numFmtId="2" fontId="22" fillId="0" borderId="13" xfId="0" applyNumberFormat="1" applyFont="1" applyBorder="1" applyAlignment="1">
      <alignment horizontal="right" vertical="center"/>
    </xf>
    <xf numFmtId="10" fontId="22" fillId="0" borderId="0" xfId="0" applyNumberFormat="1" applyFont="1" applyAlignment="1">
      <alignment horizontal="right" vertical="center"/>
    </xf>
    <xf numFmtId="4" fontId="22" fillId="12" borderId="13" xfId="0" applyNumberFormat="1" applyFont="1" applyFill="1" applyBorder="1" applyAlignment="1">
      <alignment horizontal="right" vertical="center"/>
    </xf>
    <xf numFmtId="2" fontId="22" fillId="12" borderId="13" xfId="0" applyNumberFormat="1" applyFont="1" applyFill="1" applyBorder="1" applyAlignment="1">
      <alignment horizontal="right" vertical="center"/>
    </xf>
    <xf numFmtId="10" fontId="22" fillId="12" borderId="0" xfId="0" applyNumberFormat="1" applyFont="1" applyFill="1" applyAlignment="1">
      <alignment horizontal="right" vertical="center"/>
    </xf>
    <xf numFmtId="0" fontId="11" fillId="12" borderId="31" xfId="3" applyFont="1" applyFill="1" applyBorder="1" applyAlignment="1">
      <alignment horizontal="left" vertical="center"/>
    </xf>
    <xf numFmtId="4" fontId="22" fillId="12" borderId="37" xfId="0" applyNumberFormat="1" applyFont="1" applyFill="1" applyBorder="1" applyAlignment="1">
      <alignment horizontal="right" vertical="center"/>
    </xf>
    <xf numFmtId="2" fontId="22" fillId="12" borderId="37" xfId="0" applyNumberFormat="1" applyFont="1" applyFill="1" applyBorder="1" applyAlignment="1">
      <alignment horizontal="right" vertical="center"/>
    </xf>
    <xf numFmtId="10" fontId="22" fillId="12" borderId="31" xfId="0" applyNumberFormat="1" applyFont="1" applyFill="1" applyBorder="1" applyAlignment="1">
      <alignment horizontal="right" vertical="center"/>
    </xf>
    <xf numFmtId="9" fontId="11" fillId="0" borderId="13" xfId="0" applyNumberFormat="1" applyFont="1" applyBorder="1" applyAlignment="1">
      <alignment horizontal="right" vertical="center" wrapText="1"/>
    </xf>
    <xf numFmtId="9" fontId="11" fillId="12" borderId="12" xfId="3" quotePrefix="1" applyNumberFormat="1" applyFont="1" applyFill="1" applyBorder="1" applyAlignment="1">
      <alignment horizontal="right" vertical="center"/>
    </xf>
    <xf numFmtId="9" fontId="11" fillId="0" borderId="12" xfId="0" quotePrefix="1" applyNumberFormat="1" applyFont="1" applyBorder="1" applyAlignment="1">
      <alignment horizontal="right" vertical="center"/>
    </xf>
    <xf numFmtId="9" fontId="11" fillId="12" borderId="37" xfId="3" quotePrefix="1" applyNumberFormat="1" applyFont="1" applyFill="1" applyBorder="1" applyAlignment="1">
      <alignment horizontal="right" vertical="center"/>
    </xf>
    <xf numFmtId="4" fontId="17" fillId="11" borderId="10" xfId="0" applyNumberFormat="1" applyFont="1" applyFill="1" applyBorder="1" applyAlignment="1">
      <alignment horizontal="right" vertical="center"/>
    </xf>
    <xf numFmtId="9" fontId="11" fillId="12" borderId="12" xfId="0" applyNumberFormat="1" applyFont="1" applyFill="1" applyBorder="1" applyAlignment="1">
      <alignment horizontal="right" vertical="center"/>
    </xf>
    <xf numFmtId="9" fontId="11" fillId="0" borderId="45" xfId="0" applyNumberFormat="1" applyFont="1" applyBorder="1" applyAlignment="1">
      <alignment horizontal="right" vertical="center"/>
    </xf>
    <xf numFmtId="9" fontId="11" fillId="0" borderId="12" xfId="0" applyNumberFormat="1" applyFont="1" applyBorder="1" applyAlignment="1">
      <alignment horizontal="right" vertical="center"/>
    </xf>
    <xf numFmtId="9" fontId="11" fillId="12" borderId="13" xfId="0" quotePrefix="1" applyNumberFormat="1" applyFont="1" applyFill="1" applyBorder="1" applyAlignment="1">
      <alignment horizontal="right" vertical="center"/>
    </xf>
    <xf numFmtId="166" fontId="17" fillId="11" borderId="10" xfId="0" applyNumberFormat="1" applyFont="1" applyFill="1" applyBorder="1" applyAlignment="1">
      <alignment horizontal="right" vertical="center"/>
    </xf>
    <xf numFmtId="9" fontId="11" fillId="4" borderId="13" xfId="0" applyNumberFormat="1" applyFont="1" applyFill="1" applyBorder="1" applyAlignment="1">
      <alignment horizontal="right" vertical="center" wrapText="1"/>
    </xf>
    <xf numFmtId="9" fontId="11" fillId="9" borderId="13" xfId="3" quotePrefix="1" applyNumberFormat="1" applyFont="1" applyBorder="1" applyAlignment="1">
      <alignment horizontal="right" vertical="center"/>
    </xf>
    <xf numFmtId="9" fontId="11" fillId="0" borderId="13" xfId="0" quotePrefix="1" applyNumberFormat="1" applyFont="1" applyBorder="1" applyAlignment="1">
      <alignment horizontal="right" vertical="center"/>
    </xf>
    <xf numFmtId="0" fontId="17" fillId="11" borderId="30" xfId="0" applyFont="1" applyFill="1" applyBorder="1" applyAlignment="1">
      <alignment horizontal="left" vertical="center"/>
    </xf>
    <xf numFmtId="0" fontId="17" fillId="11" borderId="30" xfId="0" applyFont="1" applyFill="1" applyBorder="1" applyAlignment="1">
      <alignment horizontal="right" vertical="center"/>
    </xf>
    <xf numFmtId="0" fontId="17" fillId="11" borderId="0" xfId="0" applyFont="1" applyFill="1" applyAlignment="1">
      <alignment horizontal="right" vertical="center"/>
    </xf>
    <xf numFmtId="166" fontId="11" fillId="0" borderId="3" xfId="0" applyNumberFormat="1" applyFont="1" applyBorder="1" applyAlignment="1">
      <alignment horizontal="right" vertical="center" wrapText="1"/>
    </xf>
    <xf numFmtId="166" fontId="11" fillId="12" borderId="3" xfId="3" applyNumberFormat="1" applyFont="1" applyFill="1" applyBorder="1" applyAlignment="1">
      <alignment horizontal="right" vertical="center"/>
    </xf>
    <xf numFmtId="165" fontId="17" fillId="12" borderId="14" xfId="0" applyNumberFormat="1" applyFont="1" applyFill="1" applyBorder="1" applyAlignment="1">
      <alignment horizontal="right" vertical="center"/>
    </xf>
    <xf numFmtId="165" fontId="22" fillId="0" borderId="13" xfId="0" applyNumberFormat="1" applyFont="1" applyBorder="1" applyAlignment="1">
      <alignment horizontal="right" vertical="center" wrapText="1"/>
    </xf>
    <xf numFmtId="165" fontId="22" fillId="12" borderId="13" xfId="0" applyNumberFormat="1" applyFont="1" applyFill="1" applyBorder="1" applyAlignment="1">
      <alignment horizontal="right" vertical="center"/>
    </xf>
    <xf numFmtId="165" fontId="22" fillId="0" borderId="13" xfId="0" applyNumberFormat="1" applyFont="1" applyBorder="1" applyAlignment="1">
      <alignment horizontal="right" vertical="center"/>
    </xf>
    <xf numFmtId="0" fontId="11" fillId="12" borderId="43" xfId="0" applyFont="1" applyFill="1" applyBorder="1" applyAlignment="1">
      <alignment horizontal="right" vertical="center"/>
    </xf>
    <xf numFmtId="1" fontId="17" fillId="0" borderId="42" xfId="0" applyNumberFormat="1" applyFont="1" applyBorder="1" applyAlignment="1">
      <alignment horizontal="right" vertical="center" wrapText="1"/>
    </xf>
    <xf numFmtId="0" fontId="11" fillId="0" borderId="42" xfId="0" applyFont="1" applyBorder="1" applyAlignment="1">
      <alignment horizontal="right" vertical="center" wrapText="1"/>
    </xf>
    <xf numFmtId="2" fontId="11" fillId="0" borderId="42" xfId="0" quotePrefix="1" applyNumberFormat="1" applyFont="1" applyBorder="1" applyAlignment="1">
      <alignment horizontal="right" vertical="center"/>
    </xf>
    <xf numFmtId="2" fontId="11" fillId="0" borderId="42" xfId="3" quotePrefix="1" applyNumberFormat="1" applyFont="1" applyFill="1" applyBorder="1" applyAlignment="1">
      <alignment horizontal="right" vertical="center"/>
    </xf>
    <xf numFmtId="2" fontId="11" fillId="0" borderId="42" xfId="0" applyNumberFormat="1" applyFont="1" applyBorder="1" applyAlignment="1">
      <alignment horizontal="right" vertical="center" wrapText="1"/>
    </xf>
    <xf numFmtId="2" fontId="11" fillId="0" borderId="42" xfId="0" applyNumberFormat="1" applyFont="1" applyBorder="1" applyAlignment="1">
      <alignment horizontal="right" vertical="center"/>
    </xf>
    <xf numFmtId="2" fontId="11" fillId="0" borderId="42" xfId="3" applyNumberFormat="1" applyFont="1" applyFill="1" applyBorder="1" applyAlignment="1">
      <alignment horizontal="right" vertical="center"/>
    </xf>
    <xf numFmtId="9" fontId="17" fillId="0" borderId="13" xfId="3" applyNumberFormat="1" applyFont="1" applyFill="1" applyBorder="1" applyAlignment="1">
      <alignment horizontal="right" vertical="center" wrapText="1"/>
    </xf>
    <xf numFmtId="9" fontId="17" fillId="12" borderId="14" xfId="0" applyNumberFormat="1" applyFont="1" applyFill="1" applyBorder="1" applyAlignment="1">
      <alignment horizontal="right" vertical="center"/>
    </xf>
    <xf numFmtId="0" fontId="11" fillId="0" borderId="42" xfId="0" applyFont="1" applyBorder="1" applyAlignment="1">
      <alignment horizontal="center" vertical="center"/>
    </xf>
    <xf numFmtId="0" fontId="11" fillId="12" borderId="42" xfId="0" applyFont="1" applyFill="1" applyBorder="1" applyAlignment="1">
      <alignment horizontal="center" vertical="center"/>
    </xf>
    <xf numFmtId="0" fontId="11" fillId="0" borderId="45" xfId="0" applyFont="1" applyBorder="1" applyAlignment="1">
      <alignment horizontal="center" vertical="center"/>
    </xf>
    <xf numFmtId="0" fontId="17" fillId="11" borderId="45" xfId="0" applyFont="1" applyFill="1" applyBorder="1" applyAlignment="1">
      <alignment horizontal="right" vertical="center"/>
    </xf>
    <xf numFmtId="0" fontId="17" fillId="11" borderId="55" xfId="0" applyFont="1" applyFill="1" applyBorder="1" applyAlignment="1">
      <alignment horizontal="right" vertical="center"/>
    </xf>
    <xf numFmtId="0" fontId="18" fillId="4" borderId="0" xfId="0" applyFont="1" applyFill="1" applyAlignment="1">
      <alignment horizontal="left" vertical="center"/>
    </xf>
    <xf numFmtId="0" fontId="11" fillId="0" borderId="42" xfId="0" applyFont="1" applyBorder="1" applyAlignment="1">
      <alignment vertical="center" wrapText="1"/>
    </xf>
    <xf numFmtId="166" fontId="11" fillId="0" borderId="43" xfId="0" applyNumberFormat="1" applyFont="1" applyBorder="1" applyAlignment="1">
      <alignment horizontal="right" vertical="center"/>
    </xf>
    <xf numFmtId="0" fontId="11" fillId="0" borderId="52" xfId="0" applyFont="1" applyBorder="1" applyAlignment="1">
      <alignment horizontal="center" vertical="center"/>
    </xf>
    <xf numFmtId="0" fontId="11" fillId="9" borderId="0" xfId="3" applyFont="1" applyBorder="1" applyAlignment="1">
      <alignment horizontal="left" vertical="center"/>
    </xf>
    <xf numFmtId="0" fontId="11" fillId="11" borderId="0" xfId="0" quotePrefix="1" applyFont="1" applyFill="1" applyAlignment="1">
      <alignment vertical="center"/>
    </xf>
    <xf numFmtId="0" fontId="11" fillId="4" borderId="0" xfId="2" applyFont="1" applyFill="1" applyBorder="1" applyAlignment="1">
      <alignment horizontal="left" vertical="center" wrapText="1"/>
    </xf>
    <xf numFmtId="0" fontId="17" fillId="13" borderId="2" xfId="0" applyFont="1" applyFill="1" applyBorder="1" applyAlignment="1">
      <alignment vertical="center" wrapText="1"/>
    </xf>
    <xf numFmtId="0" fontId="17" fillId="10" borderId="24" xfId="4" applyFont="1" applyBorder="1" applyAlignment="1">
      <alignment horizontal="left" vertical="center" wrapText="1"/>
    </xf>
    <xf numFmtId="0" fontId="17" fillId="10" borderId="24" xfId="4" applyFont="1" applyBorder="1" applyAlignment="1">
      <alignment horizontal="center" vertical="center" wrapText="1"/>
    </xf>
    <xf numFmtId="3" fontId="11" fillId="0" borderId="42" xfId="0" applyNumberFormat="1" applyFont="1" applyBorder="1" applyAlignment="1">
      <alignment vertical="center"/>
    </xf>
    <xf numFmtId="0" fontId="11" fillId="12" borderId="0" xfId="3" applyFont="1" applyFill="1" applyBorder="1" applyAlignment="1">
      <alignment vertical="center" wrapText="1"/>
    </xf>
    <xf numFmtId="0" fontId="22" fillId="4" borderId="42" xfId="0" applyFont="1" applyFill="1" applyBorder="1" applyAlignment="1">
      <alignment horizontal="center" vertical="center" wrapText="1"/>
    </xf>
    <xf numFmtId="0" fontId="22" fillId="12" borderId="42" xfId="0" applyFont="1" applyFill="1" applyBorder="1" applyAlignment="1">
      <alignment horizontal="center" vertical="center" wrapText="1"/>
    </xf>
    <xf numFmtId="0" fontId="11" fillId="0" borderId="42" xfId="0" applyFont="1" applyBorder="1" applyAlignment="1">
      <alignment horizontal="center" vertical="center" wrapText="1"/>
    </xf>
    <xf numFmtId="0" fontId="11" fillId="12" borderId="42" xfId="3" applyFont="1" applyFill="1" applyBorder="1" applyAlignment="1">
      <alignment horizontal="center" vertical="center" wrapText="1"/>
    </xf>
    <xf numFmtId="0" fontId="22" fillId="12" borderId="45" xfId="0" applyFont="1" applyFill="1" applyBorder="1" applyAlignment="1">
      <alignment horizontal="center" vertical="center" wrapText="1"/>
    </xf>
    <xf numFmtId="0" fontId="22" fillId="4" borderId="42" xfId="0" applyFont="1" applyFill="1" applyBorder="1" applyAlignment="1">
      <alignment horizontal="right" vertical="center" wrapText="1"/>
    </xf>
    <xf numFmtId="3" fontId="22" fillId="12" borderId="42" xfId="0" applyNumberFormat="1" applyFont="1" applyFill="1" applyBorder="1" applyAlignment="1">
      <alignment vertical="center" wrapText="1"/>
    </xf>
    <xf numFmtId="3" fontId="11" fillId="4" borderId="42" xfId="0" applyNumberFormat="1" applyFont="1" applyFill="1" applyBorder="1" applyAlignment="1">
      <alignment vertical="center" wrapText="1"/>
    </xf>
    <xf numFmtId="3" fontId="11" fillId="12" borderId="42" xfId="0" applyNumberFormat="1" applyFont="1" applyFill="1" applyBorder="1" applyAlignment="1">
      <alignment vertical="center"/>
    </xf>
    <xf numFmtId="3" fontId="11" fillId="12" borderId="42" xfId="3" applyNumberFormat="1" applyFont="1" applyFill="1" applyBorder="1" applyAlignment="1">
      <alignment vertical="center" wrapText="1"/>
    </xf>
    <xf numFmtId="0" fontId="22" fillId="0" borderId="45" xfId="0" applyFont="1" applyBorder="1" applyAlignment="1">
      <alignment horizontal="center" vertical="center" wrapText="1"/>
    </xf>
    <xf numFmtId="0" fontId="17" fillId="12" borderId="52" xfId="4" applyFont="1" applyFill="1" applyBorder="1" applyAlignment="1">
      <alignment horizontal="center" vertical="center" wrapText="1"/>
    </xf>
    <xf numFmtId="0" fontId="17" fillId="12" borderId="52" xfId="4" applyFont="1" applyFill="1" applyBorder="1" applyAlignment="1">
      <alignment horizontal="right" vertical="center" wrapText="1"/>
    </xf>
    <xf numFmtId="9" fontId="33" fillId="0" borderId="0" xfId="0" applyNumberFormat="1" applyFont="1" applyAlignment="1">
      <alignment horizontal="right" vertical="center"/>
    </xf>
    <xf numFmtId="0" fontId="35" fillId="0" borderId="45" xfId="0" applyFont="1" applyBorder="1" applyAlignment="1">
      <alignment horizontal="right" vertical="center"/>
    </xf>
    <xf numFmtId="0" fontId="35" fillId="0" borderId="0" xfId="0" applyFont="1" applyAlignment="1">
      <alignment horizontal="right" vertical="center"/>
    </xf>
    <xf numFmtId="0" fontId="35" fillId="0" borderId="0" xfId="0" applyFont="1" applyAlignment="1">
      <alignment horizontal="left" vertical="center"/>
    </xf>
    <xf numFmtId="0" fontId="22" fillId="12" borderId="0" xfId="0" applyFont="1" applyFill="1" applyAlignment="1">
      <alignment horizontal="left" vertical="center"/>
    </xf>
    <xf numFmtId="0" fontId="38" fillId="0" borderId="0" xfId="0" applyFont="1" applyAlignment="1">
      <alignment horizontal="left" vertical="center"/>
    </xf>
    <xf numFmtId="3" fontId="22" fillId="0" borderId="52" xfId="0" applyNumberFormat="1" applyFont="1" applyBorder="1" applyAlignment="1">
      <alignment horizontal="right" vertical="center"/>
    </xf>
    <xf numFmtId="9" fontId="35" fillId="0" borderId="0" xfId="0" applyNumberFormat="1" applyFont="1" applyAlignment="1">
      <alignment horizontal="right" vertical="center"/>
    </xf>
    <xf numFmtId="3" fontId="22" fillId="0" borderId="43" xfId="0" applyNumberFormat="1" applyFont="1" applyBorder="1" applyAlignment="1">
      <alignment horizontal="right" vertical="center" wrapText="1"/>
    </xf>
    <xf numFmtId="3" fontId="22" fillId="12" borderId="43" xfId="0" applyNumberFormat="1" applyFont="1" applyFill="1" applyBorder="1" applyAlignment="1">
      <alignment horizontal="right" vertical="center" wrapText="1"/>
    </xf>
    <xf numFmtId="0" fontId="27" fillId="12" borderId="0" xfId="0" applyFont="1" applyFill="1" applyAlignment="1">
      <alignment horizontal="left" vertical="center"/>
    </xf>
    <xf numFmtId="10" fontId="0" fillId="3" borderId="0" xfId="0" applyNumberFormat="1" applyFill="1"/>
    <xf numFmtId="1" fontId="22" fillId="0" borderId="43" xfId="0" applyNumberFormat="1" applyFont="1" applyBorder="1" applyAlignment="1">
      <alignment horizontal="right" vertical="center" wrapText="1" readingOrder="1"/>
    </xf>
    <xf numFmtId="1" fontId="22" fillId="2" borderId="43" xfId="0" applyNumberFormat="1" applyFont="1" applyFill="1" applyBorder="1" applyAlignment="1">
      <alignment horizontal="right" vertical="center" wrapText="1" readingOrder="1"/>
    </xf>
    <xf numFmtId="1" fontId="11" fillId="0" borderId="42" xfId="0" applyNumberFormat="1" applyFont="1" applyBorder="1" applyAlignment="1">
      <alignment vertical="center"/>
    </xf>
    <xf numFmtId="1" fontId="22" fillId="12" borderId="43" xfId="0" applyNumberFormat="1" applyFont="1" applyFill="1" applyBorder="1" applyAlignment="1">
      <alignment horizontal="right" vertical="center" wrapText="1" readingOrder="1"/>
    </xf>
    <xf numFmtId="3" fontId="11" fillId="0" borderId="43" xfId="0" applyNumberFormat="1" applyFont="1" applyBorder="1" applyAlignment="1">
      <alignment horizontal="right" vertical="center"/>
    </xf>
    <xf numFmtId="0" fontId="25" fillId="11" borderId="0" xfId="2" applyFont="1" applyFill="1" applyBorder="1" applyAlignment="1">
      <alignment horizontal="left" vertical="center" wrapText="1"/>
    </xf>
    <xf numFmtId="0" fontId="25" fillId="11" borderId="0" xfId="2" quotePrefix="1" applyFont="1" applyFill="1" applyBorder="1" applyAlignment="1">
      <alignment horizontal="left" vertical="center" wrapText="1"/>
    </xf>
    <xf numFmtId="166" fontId="11" fillId="0" borderId="3" xfId="0" applyNumberFormat="1" applyFont="1" applyBorder="1" applyAlignment="1">
      <alignment horizontal="right" vertical="center"/>
    </xf>
    <xf numFmtId="166" fontId="11" fillId="0" borderId="3" xfId="3" applyNumberFormat="1" applyFont="1" applyFill="1" applyBorder="1" applyAlignment="1">
      <alignment horizontal="right" vertical="center"/>
    </xf>
    <xf numFmtId="2" fontId="22" fillId="0" borderId="35" xfId="0" applyNumberFormat="1" applyFont="1" applyBorder="1" applyAlignment="1">
      <alignment horizontal="right" vertical="center"/>
    </xf>
    <xf numFmtId="2" fontId="22" fillId="9" borderId="35" xfId="3" applyNumberFormat="1" applyFont="1" applyBorder="1" applyAlignment="1">
      <alignment horizontal="right" vertical="center"/>
    </xf>
    <xf numFmtId="2" fontId="22" fillId="0" borderId="35" xfId="3" applyNumberFormat="1" applyFont="1" applyFill="1" applyBorder="1" applyAlignment="1">
      <alignment horizontal="right" vertical="center"/>
    </xf>
    <xf numFmtId="2" fontId="27" fillId="9" borderId="33" xfId="3" applyNumberFormat="1" applyFont="1" applyBorder="1" applyAlignment="1">
      <alignment horizontal="right" vertical="center" wrapText="1"/>
    </xf>
    <xf numFmtId="3" fontId="11" fillId="0" borderId="3" xfId="0" applyNumberFormat="1" applyFont="1" applyBorder="1" applyAlignment="1">
      <alignment horizontal="right" vertical="center"/>
    </xf>
    <xf numFmtId="3" fontId="11" fillId="0" borderId="3" xfId="3" applyNumberFormat="1" applyFont="1" applyFill="1" applyBorder="1" applyAlignment="1">
      <alignment horizontal="right" vertical="center"/>
    </xf>
    <xf numFmtId="0" fontId="24" fillId="0" borderId="0" xfId="0" applyFont="1" applyAlignment="1">
      <alignment vertical="center" wrapText="1"/>
    </xf>
    <xf numFmtId="0" fontId="17" fillId="12" borderId="48" xfId="4" applyFont="1" applyFill="1" applyBorder="1" applyAlignment="1">
      <alignment horizontal="center" vertical="center" wrapText="1" readingOrder="1"/>
    </xf>
    <xf numFmtId="0" fontId="11" fillId="12" borderId="13" xfId="0" applyFont="1" applyFill="1" applyBorder="1" applyAlignment="1">
      <alignment horizontal="center" vertical="center"/>
    </xf>
    <xf numFmtId="0" fontId="11" fillId="0" borderId="13" xfId="0" applyFont="1" applyBorder="1" applyAlignment="1">
      <alignment horizontal="center" vertical="center"/>
    </xf>
    <xf numFmtId="0" fontId="29" fillId="3" borderId="13" xfId="0" applyFont="1" applyFill="1" applyBorder="1" applyAlignment="1">
      <alignment horizontal="center" vertical="center" wrapText="1" readingOrder="1"/>
    </xf>
    <xf numFmtId="0" fontId="17" fillId="12" borderId="10" xfId="4" applyFont="1" applyFill="1" applyBorder="1"/>
    <xf numFmtId="0" fontId="17" fillId="12" borderId="10" xfId="4" applyFont="1" applyFill="1" applyBorder="1" applyAlignment="1">
      <alignment horizontal="center" vertical="center" wrapText="1" readingOrder="1"/>
    </xf>
    <xf numFmtId="0" fontId="36" fillId="22" borderId="10" xfId="0" applyFont="1" applyFill="1" applyBorder="1" applyAlignment="1">
      <alignment horizontal="left" vertical="center" wrapText="1" readingOrder="1"/>
    </xf>
    <xf numFmtId="0" fontId="27" fillId="22" borderId="10" xfId="0" applyFont="1" applyFill="1" applyBorder="1" applyAlignment="1">
      <alignment horizontal="center" vertical="center" wrapText="1" readingOrder="1"/>
    </xf>
    <xf numFmtId="1" fontId="27" fillId="22" borderId="48" xfId="0" applyNumberFormat="1" applyFont="1" applyFill="1" applyBorder="1" applyAlignment="1">
      <alignment horizontal="right" vertical="center" wrapText="1" readingOrder="1"/>
    </xf>
    <xf numFmtId="1" fontId="26" fillId="22" borderId="9" xfId="0" applyNumberFormat="1" applyFont="1" applyFill="1" applyBorder="1" applyAlignment="1">
      <alignment horizontal="right" vertical="center" wrapText="1"/>
    </xf>
    <xf numFmtId="0" fontId="11" fillId="0" borderId="13" xfId="0" applyFont="1" applyBorder="1" applyAlignment="1">
      <alignment vertical="center"/>
    </xf>
    <xf numFmtId="3" fontId="11" fillId="0" borderId="12" xfId="0" applyNumberFormat="1" applyFont="1" applyBorder="1" applyAlignment="1">
      <alignment horizontal="right" vertical="center"/>
    </xf>
    <xf numFmtId="0" fontId="22" fillId="12" borderId="13" xfId="0" applyFont="1" applyFill="1" applyBorder="1" applyAlignment="1">
      <alignment horizontal="left" vertical="center" wrapText="1" readingOrder="1"/>
    </xf>
    <xf numFmtId="0" fontId="22" fillId="12" borderId="13" xfId="0" applyFont="1" applyFill="1" applyBorder="1" applyAlignment="1">
      <alignment horizontal="center" vertical="center" wrapText="1" readingOrder="1"/>
    </xf>
    <xf numFmtId="1" fontId="25" fillId="12" borderId="12" xfId="0" applyNumberFormat="1" applyFont="1" applyFill="1" applyBorder="1" applyAlignment="1">
      <alignment horizontal="right" vertical="center" wrapText="1"/>
    </xf>
    <xf numFmtId="0" fontId="22" fillId="22" borderId="10" xfId="0" applyFont="1" applyFill="1" applyBorder="1" applyAlignment="1">
      <alignment horizontal="center" vertical="center" wrapText="1" readingOrder="1"/>
    </xf>
    <xf numFmtId="1" fontId="22" fillId="22" borderId="48" xfId="0" applyNumberFormat="1" applyFont="1" applyFill="1" applyBorder="1" applyAlignment="1">
      <alignment horizontal="right" vertical="center" wrapText="1" readingOrder="1"/>
    </xf>
    <xf numFmtId="1" fontId="25" fillId="22" borderId="9" xfId="0" applyNumberFormat="1" applyFont="1" applyFill="1" applyBorder="1" applyAlignment="1">
      <alignment horizontal="right" vertical="center" wrapText="1"/>
    </xf>
    <xf numFmtId="0" fontId="22" fillId="12" borderId="16" xfId="0" applyFont="1" applyFill="1" applyBorder="1" applyAlignment="1">
      <alignment horizontal="left" vertical="center" wrapText="1" readingOrder="1"/>
    </xf>
    <xf numFmtId="0" fontId="22" fillId="12" borderId="16" xfId="0" applyFont="1" applyFill="1" applyBorder="1" applyAlignment="1">
      <alignment horizontal="center" vertical="center" wrapText="1" readingOrder="1"/>
    </xf>
    <xf numFmtId="1" fontId="22" fillId="12" borderId="44" xfId="0" applyNumberFormat="1" applyFont="1" applyFill="1" applyBorder="1" applyAlignment="1">
      <alignment horizontal="right" vertical="center" wrapText="1" readingOrder="1"/>
    </xf>
    <xf numFmtId="1" fontId="25" fillId="12" borderId="15" xfId="0" applyNumberFormat="1" applyFont="1" applyFill="1" applyBorder="1" applyAlignment="1">
      <alignment horizontal="right" vertical="center" wrapText="1"/>
    </xf>
    <xf numFmtId="166" fontId="0" fillId="0" borderId="0" xfId="0" applyNumberFormat="1"/>
    <xf numFmtId="9" fontId="29" fillId="12" borderId="45" xfId="0" applyNumberFormat="1" applyFont="1" applyFill="1" applyBorder="1" applyAlignment="1">
      <alignment horizontal="right" vertical="center"/>
    </xf>
    <xf numFmtId="0" fontId="9" fillId="5" borderId="0" xfId="0" applyFont="1" applyFill="1" applyAlignment="1">
      <alignment vertical="center" wrapText="1" readingOrder="1"/>
    </xf>
    <xf numFmtId="0" fontId="17" fillId="0" borderId="13" xfId="0" applyFont="1" applyBorder="1" applyAlignment="1">
      <alignment vertical="center"/>
    </xf>
    <xf numFmtId="166" fontId="11" fillId="0" borderId="12" xfId="0" applyNumberFormat="1" applyFont="1" applyBorder="1" applyAlignment="1">
      <alignment horizontal="right" vertical="center"/>
    </xf>
    <xf numFmtId="166" fontId="22" fillId="12" borderId="43" xfId="0" applyNumberFormat="1" applyFont="1" applyFill="1" applyBorder="1" applyAlignment="1">
      <alignment horizontal="right" vertical="center" wrapText="1" readingOrder="1"/>
    </xf>
    <xf numFmtId="166" fontId="25" fillId="12" borderId="12" xfId="0" applyNumberFormat="1" applyFont="1" applyFill="1" applyBorder="1" applyAlignment="1">
      <alignment horizontal="right" vertical="center" wrapText="1"/>
    </xf>
    <xf numFmtId="9" fontId="0" fillId="0" borderId="0" xfId="0" applyNumberFormat="1"/>
    <xf numFmtId="0" fontId="17" fillId="9" borderId="12" xfId="3" applyFont="1" applyBorder="1" applyAlignment="1">
      <alignment vertical="center" wrapText="1"/>
    </xf>
    <xf numFmtId="3" fontId="17" fillId="9" borderId="13" xfId="3" applyNumberFormat="1" applyFont="1" applyBorder="1" applyAlignment="1">
      <alignment horizontal="right" vertical="center" wrapText="1"/>
    </xf>
    <xf numFmtId="9" fontId="17" fillId="9" borderId="13" xfId="3" applyNumberFormat="1" applyFont="1" applyBorder="1" applyAlignment="1">
      <alignment horizontal="right" vertical="center" wrapText="1"/>
    </xf>
    <xf numFmtId="2" fontId="27" fillId="9" borderId="34" xfId="3" applyNumberFormat="1" applyFont="1" applyBorder="1" applyAlignment="1">
      <alignment horizontal="right" vertical="center" wrapText="1"/>
    </xf>
    <xf numFmtId="9" fontId="17" fillId="12" borderId="13" xfId="0" applyNumberFormat="1" applyFont="1" applyFill="1" applyBorder="1" applyAlignment="1">
      <alignment horizontal="right" vertical="center"/>
    </xf>
    <xf numFmtId="166" fontId="17" fillId="11" borderId="13" xfId="0" applyNumberFormat="1" applyFont="1" applyFill="1" applyBorder="1" applyAlignment="1">
      <alignment horizontal="right" vertical="center"/>
    </xf>
    <xf numFmtId="0" fontId="17" fillId="11" borderId="0" xfId="3" quotePrefix="1" applyFont="1" applyFill="1" applyBorder="1" applyAlignment="1">
      <alignment horizontal="left" vertical="center"/>
    </xf>
    <xf numFmtId="0" fontId="17" fillId="9" borderId="0" xfId="3" applyFont="1" applyBorder="1" applyAlignment="1">
      <alignment vertical="center" wrapText="1"/>
    </xf>
    <xf numFmtId="4" fontId="17" fillId="9" borderId="13" xfId="3" applyNumberFormat="1" applyFont="1" applyBorder="1" applyAlignment="1">
      <alignment horizontal="right" vertical="center" wrapText="1"/>
    </xf>
    <xf numFmtId="9" fontId="17" fillId="9" borderId="0" xfId="3" applyNumberFormat="1" applyFont="1" applyBorder="1" applyAlignment="1">
      <alignment horizontal="right" vertical="center" wrapText="1"/>
    </xf>
    <xf numFmtId="4" fontId="17" fillId="11" borderId="13" xfId="0" applyNumberFormat="1" applyFont="1" applyFill="1" applyBorder="1" applyAlignment="1">
      <alignment horizontal="right" vertical="center"/>
    </xf>
    <xf numFmtId="0" fontId="29" fillId="3" borderId="43" xfId="0" applyFont="1" applyFill="1" applyBorder="1" applyAlignment="1">
      <alignment horizontal="right" vertical="center" wrapText="1" readingOrder="1"/>
    </xf>
    <xf numFmtId="0" fontId="11" fillId="3" borderId="45" xfId="0" applyFont="1" applyFill="1" applyBorder="1" applyAlignment="1">
      <alignment horizontal="center" vertical="center"/>
    </xf>
    <xf numFmtId="0" fontId="11" fillId="3" borderId="43" xfId="0" applyFont="1" applyFill="1" applyBorder="1" applyAlignment="1">
      <alignment horizontal="right" vertical="center"/>
    </xf>
    <xf numFmtId="0" fontId="22" fillId="4" borderId="70" xfId="0" applyFont="1" applyFill="1" applyBorder="1" applyAlignment="1">
      <alignment vertical="center" wrapText="1"/>
    </xf>
    <xf numFmtId="3" fontId="22" fillId="12" borderId="70" xfId="0" applyNumberFormat="1" applyFont="1" applyFill="1" applyBorder="1" applyAlignment="1">
      <alignment vertical="center" wrapText="1"/>
    </xf>
    <xf numFmtId="0" fontId="11" fillId="0" borderId="3" xfId="0" applyFont="1" applyBorder="1" applyAlignment="1">
      <alignment vertical="center" wrapText="1"/>
    </xf>
    <xf numFmtId="0" fontId="11" fillId="0" borderId="70" xfId="0" applyFont="1" applyBorder="1" applyAlignment="1">
      <alignment horizontal="right" vertical="center" wrapText="1"/>
    </xf>
    <xf numFmtId="3" fontId="11" fillId="4" borderId="70" xfId="0" applyNumberFormat="1" applyFont="1" applyFill="1" applyBorder="1" applyAlignment="1">
      <alignment vertical="center" wrapText="1"/>
    </xf>
    <xf numFmtId="3" fontId="11" fillId="12" borderId="70" xfId="0" applyNumberFormat="1" applyFont="1" applyFill="1" applyBorder="1" applyAlignment="1">
      <alignment vertical="center"/>
    </xf>
    <xf numFmtId="3" fontId="11" fillId="0" borderId="70" xfId="0" applyNumberFormat="1" applyFont="1" applyBorder="1" applyAlignment="1">
      <alignment vertical="center"/>
    </xf>
    <xf numFmtId="3" fontId="11" fillId="12" borderId="70" xfId="3" applyNumberFormat="1" applyFont="1" applyFill="1" applyBorder="1" applyAlignment="1">
      <alignment horizontal="right" vertical="center" wrapText="1"/>
    </xf>
    <xf numFmtId="0" fontId="11" fillId="0" borderId="62" xfId="0" applyFont="1" applyBorder="1" applyAlignment="1">
      <alignment horizontal="center" vertical="center"/>
    </xf>
    <xf numFmtId="1" fontId="11" fillId="0" borderId="62" xfId="0" applyNumberFormat="1" applyFont="1" applyBorder="1" applyAlignment="1">
      <alignment vertical="center"/>
    </xf>
    <xf numFmtId="1" fontId="11" fillId="0" borderId="71" xfId="0" applyNumberFormat="1" applyFont="1" applyBorder="1" applyAlignment="1">
      <alignment vertical="center"/>
    </xf>
    <xf numFmtId="0" fontId="17" fillId="12" borderId="40" xfId="4" applyFont="1" applyFill="1" applyBorder="1" applyAlignment="1">
      <alignment horizontal="center" vertical="center" wrapText="1" readingOrder="1"/>
    </xf>
    <xf numFmtId="0" fontId="17" fillId="12" borderId="40" xfId="4" applyFont="1" applyFill="1" applyBorder="1" applyAlignment="1">
      <alignment vertical="center" wrapText="1" readingOrder="1"/>
    </xf>
    <xf numFmtId="0" fontId="17" fillId="12" borderId="72" xfId="4" applyFont="1" applyFill="1" applyBorder="1" applyAlignment="1">
      <alignment horizontal="right" vertical="center" wrapText="1" readingOrder="1"/>
    </xf>
    <xf numFmtId="0" fontId="22" fillId="0" borderId="70" xfId="0" applyFont="1" applyBorder="1" applyAlignment="1">
      <alignment horizontal="right" vertical="center" wrapText="1" readingOrder="1"/>
    </xf>
    <xf numFmtId="0" fontId="22" fillId="0" borderId="2" xfId="0" applyFont="1" applyBorder="1" applyAlignment="1">
      <alignment horizontal="right" vertical="center" wrapText="1" readingOrder="1"/>
    </xf>
    <xf numFmtId="0" fontId="22" fillId="0" borderId="71" xfId="0" applyFont="1" applyBorder="1" applyAlignment="1">
      <alignment horizontal="right" vertical="center" wrapText="1" readingOrder="1"/>
    </xf>
    <xf numFmtId="0" fontId="17" fillId="12" borderId="51" xfId="4" applyFont="1" applyFill="1" applyBorder="1" applyAlignment="1">
      <alignment horizontal="center" vertical="center" wrapText="1" readingOrder="1"/>
    </xf>
    <xf numFmtId="0" fontId="22" fillId="2" borderId="13" xfId="0" applyFont="1" applyFill="1" applyBorder="1" applyAlignment="1">
      <alignment horizontal="center" vertical="center" wrapText="1" readingOrder="1"/>
    </xf>
    <xf numFmtId="0" fontId="22" fillId="0" borderId="16" xfId="0" applyFont="1" applyBorder="1" applyAlignment="1">
      <alignment horizontal="center" vertical="center" wrapText="1" readingOrder="1"/>
    </xf>
    <xf numFmtId="3" fontId="22" fillId="0" borderId="12" xfId="0" applyNumberFormat="1" applyFont="1" applyBorder="1" applyAlignment="1">
      <alignment horizontal="right" vertical="center" wrapText="1" readingOrder="1"/>
    </xf>
    <xf numFmtId="0" fontId="22" fillId="0" borderId="12" xfId="0" applyFont="1" applyBorder="1" applyAlignment="1">
      <alignment horizontal="right" vertical="center" wrapText="1" readingOrder="1"/>
    </xf>
    <xf numFmtId="1" fontId="22" fillId="2" borderId="12" xfId="0" applyNumberFormat="1" applyFont="1" applyFill="1" applyBorder="1" applyAlignment="1">
      <alignment horizontal="right" vertical="center" wrapText="1" readingOrder="1"/>
    </xf>
    <xf numFmtId="0" fontId="22" fillId="2" borderId="12" xfId="0" applyFont="1" applyFill="1" applyBorder="1" applyAlignment="1">
      <alignment horizontal="right" vertical="center" wrapText="1" readingOrder="1"/>
    </xf>
    <xf numFmtId="166" fontId="22" fillId="2" borderId="12" xfId="0" applyNumberFormat="1" applyFont="1" applyFill="1" applyBorder="1" applyAlignment="1">
      <alignment horizontal="right" vertical="center" wrapText="1" readingOrder="1"/>
    </xf>
    <xf numFmtId="166" fontId="22" fillId="0" borderId="15" xfId="0" applyNumberFormat="1" applyFont="1" applyBorder="1" applyAlignment="1">
      <alignment horizontal="right" vertical="center" wrapText="1" readingOrder="1"/>
    </xf>
    <xf numFmtId="1" fontId="22" fillId="0" borderId="13" xfId="0" applyNumberFormat="1" applyFont="1" applyBorder="1" applyAlignment="1">
      <alignment horizontal="right" vertical="center" wrapText="1" readingOrder="1"/>
    </xf>
    <xf numFmtId="1" fontId="22" fillId="0" borderId="16" xfId="0" applyNumberFormat="1" applyFont="1" applyBorder="1" applyAlignment="1">
      <alignment horizontal="right" vertical="center" wrapText="1" readingOrder="1"/>
    </xf>
    <xf numFmtId="0" fontId="22" fillId="0" borderId="73" xfId="0" applyFont="1" applyBorder="1" applyAlignment="1">
      <alignment horizontal="center" vertical="center" wrapText="1" readingOrder="1"/>
    </xf>
    <xf numFmtId="1" fontId="22" fillId="0" borderId="2" xfId="0" applyNumberFormat="1" applyFont="1" applyBorder="1" applyAlignment="1">
      <alignment horizontal="right" vertical="center" wrapText="1" readingOrder="1"/>
    </xf>
    <xf numFmtId="0" fontId="22" fillId="0" borderId="2" xfId="0" applyFont="1" applyBorder="1" applyAlignment="1">
      <alignment horizontal="center" vertical="center" wrapText="1" readingOrder="1"/>
    </xf>
    <xf numFmtId="0" fontId="22" fillId="0" borderId="37" xfId="0" applyFont="1" applyBorder="1" applyAlignment="1">
      <alignment horizontal="center" vertical="center" wrapText="1" readingOrder="1"/>
    </xf>
    <xf numFmtId="0" fontId="27" fillId="12" borderId="7" xfId="0" applyFont="1" applyFill="1" applyBorder="1" applyAlignment="1">
      <alignment vertical="center" wrapText="1" readingOrder="1"/>
    </xf>
    <xf numFmtId="0" fontId="27" fillId="12" borderId="10" xfId="0" applyFont="1" applyFill="1" applyBorder="1" applyAlignment="1">
      <alignment horizontal="right" vertical="center" wrapText="1" readingOrder="1"/>
    </xf>
    <xf numFmtId="0" fontId="27" fillId="12" borderId="41" xfId="0" applyFont="1" applyFill="1" applyBorder="1" applyAlignment="1">
      <alignment vertical="center" wrapText="1" readingOrder="1"/>
    </xf>
    <xf numFmtId="0" fontId="27" fillId="12" borderId="56" xfId="0" applyFont="1" applyFill="1" applyBorder="1" applyAlignment="1">
      <alignment horizontal="center" vertical="center" wrapText="1" readingOrder="1"/>
    </xf>
    <xf numFmtId="0" fontId="17" fillId="12" borderId="63" xfId="0" applyFont="1" applyFill="1" applyBorder="1" applyAlignment="1">
      <alignment horizontal="center" vertical="center"/>
    </xf>
    <xf numFmtId="0" fontId="11" fillId="3" borderId="13" xfId="3" applyFont="1" applyFill="1" applyBorder="1" applyAlignment="1">
      <alignment horizontal="center" vertical="center" wrapText="1" readingOrder="1"/>
    </xf>
    <xf numFmtId="0" fontId="11" fillId="3" borderId="0" xfId="3" applyFont="1" applyFill="1" applyBorder="1" applyAlignment="1">
      <alignment horizontal="right" vertical="center" wrapText="1" readingOrder="1"/>
    </xf>
    <xf numFmtId="0" fontId="11" fillId="3" borderId="13" xfId="5" applyNumberFormat="1" applyFont="1" applyFill="1" applyBorder="1" applyAlignment="1">
      <alignment horizontal="right" vertical="center"/>
    </xf>
    <xf numFmtId="0" fontId="25" fillId="3" borderId="13" xfId="0" applyFont="1" applyFill="1" applyBorder="1" applyAlignment="1">
      <alignment horizontal="right" vertical="center" wrapText="1"/>
    </xf>
    <xf numFmtId="49" fontId="22" fillId="3" borderId="13" xfId="0" applyNumberFormat="1" applyFont="1" applyFill="1" applyBorder="1" applyAlignment="1">
      <alignment horizontal="right" vertical="center" wrapText="1" readingOrder="1"/>
    </xf>
    <xf numFmtId="0" fontId="11" fillId="12" borderId="13" xfId="5" applyNumberFormat="1" applyFont="1" applyFill="1" applyBorder="1" applyAlignment="1">
      <alignment horizontal="right" vertical="center"/>
    </xf>
    <xf numFmtId="0" fontId="29" fillId="12" borderId="13" xfId="0" applyFont="1" applyFill="1" applyBorder="1" applyAlignment="1">
      <alignment horizontal="center" vertical="center" wrapText="1" readingOrder="1"/>
    </xf>
    <xf numFmtId="49" fontId="25" fillId="12" borderId="13" xfId="0" applyNumberFormat="1" applyFont="1" applyFill="1" applyBorder="1" applyAlignment="1">
      <alignment horizontal="right" vertical="center" wrapText="1"/>
    </xf>
    <xf numFmtId="49" fontId="11" fillId="12" borderId="13" xfId="0" applyNumberFormat="1" applyFont="1" applyFill="1" applyBorder="1" applyAlignment="1">
      <alignment horizontal="right" vertical="center"/>
    </xf>
    <xf numFmtId="0" fontId="11" fillId="3" borderId="3" xfId="3" applyFont="1" applyFill="1" applyBorder="1" applyAlignment="1">
      <alignment horizontal="left" vertical="center" wrapText="1" readingOrder="1"/>
    </xf>
    <xf numFmtId="0" fontId="29" fillId="12" borderId="3" xfId="0" applyFont="1" applyFill="1" applyBorder="1" applyAlignment="1">
      <alignment horizontal="left" vertical="center" wrapText="1" readingOrder="1"/>
    </xf>
    <xf numFmtId="0" fontId="17" fillId="12" borderId="74" xfId="4" applyFont="1" applyFill="1" applyBorder="1" applyAlignment="1">
      <alignment horizontal="center" vertical="center" wrapText="1"/>
    </xf>
    <xf numFmtId="0" fontId="17" fillId="12" borderId="74" xfId="4" applyFont="1" applyFill="1" applyBorder="1" applyAlignment="1">
      <alignment horizontal="right" vertical="center" wrapText="1"/>
    </xf>
    <xf numFmtId="0" fontId="17" fillId="12" borderId="75" xfId="4" applyFont="1" applyFill="1" applyBorder="1" applyAlignment="1">
      <alignment horizontal="center" vertical="center" wrapText="1"/>
    </xf>
    <xf numFmtId="0" fontId="17" fillId="12" borderId="75" xfId="4" applyFont="1" applyFill="1" applyBorder="1" applyAlignment="1">
      <alignment horizontal="right" vertical="center" wrapText="1"/>
    </xf>
    <xf numFmtId="0" fontId="17" fillId="12" borderId="76" xfId="4" applyFont="1" applyFill="1" applyBorder="1" applyAlignment="1">
      <alignment horizontal="right" vertical="center" wrapText="1"/>
    </xf>
    <xf numFmtId="0" fontId="11" fillId="0" borderId="26" xfId="0" applyFont="1" applyBorder="1" applyAlignment="1">
      <alignment horizontal="center" vertical="center"/>
    </xf>
    <xf numFmtId="0" fontId="11" fillId="9" borderId="0" xfId="3" applyFont="1" applyBorder="1" applyAlignment="1">
      <alignment horizontal="center" vertical="center"/>
    </xf>
    <xf numFmtId="0" fontId="11" fillId="4" borderId="0" xfId="2" applyFont="1" applyFill="1" applyBorder="1" applyAlignment="1">
      <alignment horizontal="center" vertical="center" wrapText="1"/>
    </xf>
    <xf numFmtId="0" fontId="11" fillId="0" borderId="0" xfId="3" quotePrefix="1" applyFont="1" applyFill="1" applyBorder="1" applyAlignment="1">
      <alignment horizontal="center" vertical="center"/>
    </xf>
    <xf numFmtId="0" fontId="13" fillId="17" borderId="0" xfId="0" applyFont="1" applyFill="1" applyAlignment="1">
      <alignment vertical="center"/>
    </xf>
    <xf numFmtId="0" fontId="10" fillId="0" borderId="0" xfId="0" applyFont="1"/>
    <xf numFmtId="0" fontId="11" fillId="0" borderId="0" xfId="3" quotePrefix="1" applyFont="1" applyFill="1" applyBorder="1" applyAlignment="1">
      <alignment vertical="center"/>
    </xf>
    <xf numFmtId="0" fontId="11" fillId="0" borderId="26" xfId="0" applyFont="1" applyBorder="1" applyAlignment="1">
      <alignment vertical="center"/>
    </xf>
    <xf numFmtId="0" fontId="11" fillId="9" borderId="0" xfId="3" applyFont="1" applyBorder="1" applyAlignment="1">
      <alignment vertical="center"/>
    </xf>
    <xf numFmtId="0" fontId="11" fillId="4" borderId="0" xfId="2" applyFont="1" applyFill="1" applyBorder="1" applyAlignment="1">
      <alignment vertical="center" wrapText="1"/>
    </xf>
    <xf numFmtId="0" fontId="17" fillId="10" borderId="78" xfId="4" applyFont="1" applyBorder="1" applyAlignment="1">
      <alignment horizontal="center" vertical="center" wrapText="1"/>
    </xf>
    <xf numFmtId="0" fontId="17" fillId="10" borderId="79" xfId="4" applyFont="1" applyBorder="1" applyAlignment="1">
      <alignment horizontal="center" vertical="center" wrapText="1"/>
    </xf>
    <xf numFmtId="0" fontId="25" fillId="11" borderId="0" xfId="0" applyFont="1" applyFill="1" applyAlignment="1">
      <alignment horizontal="center" vertical="center" wrapText="1"/>
    </xf>
    <xf numFmtId="0" fontId="11" fillId="11" borderId="3" xfId="3" applyFont="1" applyFill="1" applyBorder="1" applyAlignment="1">
      <alignment horizontal="left" vertical="center" wrapText="1"/>
    </xf>
    <xf numFmtId="0" fontId="11" fillId="11" borderId="0" xfId="3" applyFont="1" applyFill="1" applyBorder="1" applyAlignment="1">
      <alignment horizontal="center" vertical="center" wrapText="1"/>
    </xf>
    <xf numFmtId="0" fontId="11" fillId="11" borderId="12" xfId="3" applyFont="1" applyFill="1" applyBorder="1" applyAlignment="1">
      <alignment horizontal="center" vertical="center" wrapText="1"/>
    </xf>
    <xf numFmtId="0" fontId="11" fillId="3" borderId="3" xfId="3" applyFont="1" applyFill="1" applyBorder="1" applyAlignment="1">
      <alignment horizontal="left" vertical="center" wrapText="1"/>
    </xf>
    <xf numFmtId="0" fontId="11" fillId="3" borderId="0" xfId="3" applyFont="1" applyFill="1" applyBorder="1" applyAlignment="1">
      <alignment horizontal="center" vertical="center" wrapText="1"/>
    </xf>
    <xf numFmtId="0" fontId="11" fillId="3" borderId="12" xfId="3" applyFont="1" applyFill="1" applyBorder="1" applyAlignment="1">
      <alignment horizontal="center" vertical="center" wrapText="1"/>
    </xf>
    <xf numFmtId="0" fontId="17" fillId="10" borderId="78" xfId="4" applyFont="1" applyBorder="1" applyAlignment="1">
      <alignment horizontal="left" vertical="center" wrapText="1"/>
    </xf>
    <xf numFmtId="0" fontId="17" fillId="10" borderId="80" xfId="4" applyFont="1" applyBorder="1" applyAlignment="1">
      <alignment horizontal="left" vertical="center" wrapText="1"/>
    </xf>
    <xf numFmtId="0" fontId="11" fillId="11" borderId="12" xfId="3" applyFont="1" applyFill="1" applyBorder="1" applyAlignment="1">
      <alignment vertical="center" wrapText="1"/>
    </xf>
    <xf numFmtId="0" fontId="11" fillId="3" borderId="3" xfId="3" applyFont="1" applyFill="1" applyBorder="1" applyAlignment="1">
      <alignment vertical="center" wrapText="1"/>
    </xf>
    <xf numFmtId="0" fontId="11" fillId="3" borderId="12" xfId="3" applyFont="1" applyFill="1" applyBorder="1" applyAlignment="1">
      <alignment vertical="center" wrapText="1"/>
    </xf>
    <xf numFmtId="0" fontId="11" fillId="11" borderId="3" xfId="3" applyFont="1" applyFill="1" applyBorder="1" applyAlignment="1">
      <alignment vertical="center" wrapText="1"/>
    </xf>
    <xf numFmtId="0" fontId="17" fillId="10" borderId="79" xfId="4" applyFont="1" applyBorder="1" applyAlignment="1">
      <alignment horizontal="left" vertical="center" wrapText="1"/>
    </xf>
    <xf numFmtId="0" fontId="11" fillId="3" borderId="0" xfId="0" applyFont="1" applyFill="1" applyAlignment="1">
      <alignment vertical="center"/>
    </xf>
    <xf numFmtId="0" fontId="0" fillId="0" borderId="12" xfId="0" applyBorder="1"/>
    <xf numFmtId="0" fontId="20" fillId="11" borderId="0" xfId="2" applyFont="1" applyFill="1" applyBorder="1" applyAlignment="1">
      <alignment vertical="center"/>
    </xf>
    <xf numFmtId="0" fontId="0" fillId="11" borderId="12" xfId="0" applyFill="1" applyBorder="1"/>
    <xf numFmtId="0" fontId="20" fillId="3" borderId="0" xfId="2" applyFont="1" applyFill="1" applyBorder="1" applyAlignment="1">
      <alignment vertical="center"/>
    </xf>
    <xf numFmtId="0" fontId="20" fillId="3" borderId="17" xfId="2" quotePrefix="1" applyFont="1" applyFill="1" applyBorder="1" applyAlignment="1">
      <alignment vertical="center"/>
    </xf>
    <xf numFmtId="0" fontId="20" fillId="3" borderId="2" xfId="2" quotePrefix="1" applyFont="1" applyFill="1" applyBorder="1" applyAlignment="1">
      <alignment vertical="center"/>
    </xf>
    <xf numFmtId="0" fontId="0" fillId="0" borderId="15" xfId="0" applyBorder="1"/>
    <xf numFmtId="2" fontId="25" fillId="11" borderId="0" xfId="0" applyNumberFormat="1" applyFont="1" applyFill="1" applyAlignment="1">
      <alignment horizontal="left" vertical="center" wrapText="1"/>
    </xf>
    <xf numFmtId="0" fontId="25" fillId="11" borderId="0" xfId="2" applyFont="1" applyFill="1" applyAlignment="1">
      <alignment horizontal="left" vertical="center"/>
    </xf>
    <xf numFmtId="0" fontId="25" fillId="11" borderId="0" xfId="0" applyFont="1" applyFill="1" applyAlignment="1">
      <alignment horizontal="left" vertical="center" wrapText="1"/>
    </xf>
    <xf numFmtId="0" fontId="25" fillId="3" borderId="0" xfId="2" applyFont="1" applyFill="1" applyAlignment="1">
      <alignment horizontal="left" vertical="center"/>
    </xf>
    <xf numFmtId="0" fontId="25" fillId="3" borderId="0" xfId="3" applyNumberFormat="1" applyFont="1" applyFill="1" applyBorder="1" applyAlignment="1">
      <alignment horizontal="center" vertical="center"/>
    </xf>
    <xf numFmtId="0" fontId="25" fillId="3" borderId="0" xfId="3" applyNumberFormat="1" applyFont="1" applyFill="1" applyBorder="1" applyAlignment="1">
      <alignment horizontal="left" vertical="center" wrapText="1"/>
    </xf>
    <xf numFmtId="0" fontId="25" fillId="3" borderId="0" xfId="3" applyFont="1" applyFill="1" applyAlignment="1">
      <alignment horizontal="left" vertical="center" wrapText="1"/>
    </xf>
    <xf numFmtId="0" fontId="0" fillId="23" borderId="0" xfId="0" applyFill="1"/>
    <xf numFmtId="3" fontId="22" fillId="12" borderId="42" xfId="0" applyNumberFormat="1" applyFont="1" applyFill="1" applyBorder="1" applyAlignment="1">
      <alignment horizontal="right" vertical="center" wrapText="1"/>
    </xf>
    <xf numFmtId="3" fontId="22" fillId="4" borderId="42" xfId="0" applyNumberFormat="1" applyFont="1" applyFill="1" applyBorder="1" applyAlignment="1">
      <alignment horizontal="right" vertical="center" wrapText="1"/>
    </xf>
    <xf numFmtId="3" fontId="11" fillId="12" borderId="42" xfId="0" applyNumberFormat="1" applyFont="1" applyFill="1" applyBorder="1" applyAlignment="1">
      <alignment horizontal="right" vertical="center"/>
    </xf>
    <xf numFmtId="3" fontId="11" fillId="0" borderId="42" xfId="0" applyNumberFormat="1" applyFont="1" applyBorder="1" applyAlignment="1">
      <alignment horizontal="right" vertical="center"/>
    </xf>
    <xf numFmtId="3" fontId="11" fillId="0" borderId="52" xfId="0" applyNumberFormat="1" applyFont="1" applyBorder="1" applyAlignment="1">
      <alignment horizontal="right" vertical="center"/>
    </xf>
    <xf numFmtId="0" fontId="16" fillId="0" borderId="0" xfId="2" applyFont="1"/>
    <xf numFmtId="166" fontId="22" fillId="0" borderId="13" xfId="0" applyNumberFormat="1" applyFont="1" applyBorder="1" applyAlignment="1">
      <alignment horizontal="right" vertical="center"/>
    </xf>
    <xf numFmtId="165" fontId="22" fillId="20" borderId="13" xfId="0" applyNumberFormat="1" applyFont="1" applyFill="1" applyBorder="1" applyAlignment="1">
      <alignment horizontal="right" vertical="center" wrapText="1"/>
    </xf>
    <xf numFmtId="165" fontId="22" fillId="20" borderId="13" xfId="0" applyNumberFormat="1" applyFont="1" applyFill="1" applyBorder="1" applyAlignment="1">
      <alignment horizontal="right" vertical="center"/>
    </xf>
    <xf numFmtId="165" fontId="11" fillId="11" borderId="3" xfId="0" applyNumberFormat="1" applyFont="1" applyFill="1" applyBorder="1" applyAlignment="1">
      <alignment horizontal="right" vertical="center" wrapText="1"/>
    </xf>
    <xf numFmtId="165" fontId="11" fillId="0" borderId="3" xfId="3" applyNumberFormat="1" applyFont="1" applyFill="1" applyBorder="1" applyAlignment="1">
      <alignment horizontal="right" vertical="center"/>
    </xf>
    <xf numFmtId="165" fontId="11" fillId="11" borderId="3" xfId="0" applyNumberFormat="1" applyFont="1" applyFill="1" applyBorder="1" applyAlignment="1">
      <alignment horizontal="right" vertical="center"/>
    </xf>
    <xf numFmtId="165" fontId="11" fillId="11" borderId="3" xfId="3" applyNumberFormat="1" applyFont="1" applyFill="1" applyBorder="1" applyAlignment="1">
      <alignment horizontal="right" vertical="center"/>
    </xf>
    <xf numFmtId="165" fontId="17" fillId="9" borderId="8" xfId="3" applyNumberFormat="1" applyFont="1" applyBorder="1" applyAlignment="1">
      <alignment horizontal="right" vertical="center" wrapText="1"/>
    </xf>
    <xf numFmtId="166" fontId="22" fillId="0" borderId="13" xfId="0" applyNumberFormat="1" applyFont="1" applyBorder="1" applyAlignment="1">
      <alignment horizontal="right" vertical="center" wrapText="1"/>
    </xf>
    <xf numFmtId="166" fontId="22" fillId="12" borderId="13" xfId="0" applyNumberFormat="1" applyFont="1" applyFill="1" applyBorder="1" applyAlignment="1">
      <alignment horizontal="right" vertical="center"/>
    </xf>
    <xf numFmtId="165" fontId="11" fillId="0" borderId="3" xfId="0" applyNumberFormat="1" applyFont="1" applyBorder="1" applyAlignment="1">
      <alignment horizontal="right" vertical="center" wrapText="1"/>
    </xf>
    <xf numFmtId="165" fontId="11" fillId="12" borderId="3" xfId="0" applyNumberFormat="1" applyFont="1" applyFill="1" applyBorder="1" applyAlignment="1">
      <alignment horizontal="right" vertical="center"/>
    </xf>
    <xf numFmtId="165" fontId="11" fillId="0" borderId="3" xfId="0" applyNumberFormat="1" applyFont="1" applyBorder="1" applyAlignment="1">
      <alignment horizontal="right" vertical="center"/>
    </xf>
    <xf numFmtId="165" fontId="11" fillId="12" borderId="3" xfId="3" applyNumberFormat="1" applyFont="1" applyFill="1" applyBorder="1" applyAlignment="1">
      <alignment horizontal="right" vertical="center"/>
    </xf>
    <xf numFmtId="165" fontId="11" fillId="12" borderId="17" xfId="3" applyNumberFormat="1" applyFont="1" applyFill="1" applyBorder="1" applyAlignment="1">
      <alignment horizontal="right" vertical="center"/>
    </xf>
    <xf numFmtId="0" fontId="11" fillId="3" borderId="43" xfId="3" applyFont="1" applyFill="1" applyBorder="1" applyAlignment="1">
      <alignment horizontal="right" vertical="center" wrapText="1" readingOrder="1"/>
    </xf>
    <xf numFmtId="0" fontId="17" fillId="12" borderId="9" xfId="4" applyFont="1" applyFill="1" applyBorder="1" applyAlignment="1">
      <alignment horizontal="center" vertical="center" wrapText="1" readingOrder="1"/>
    </xf>
    <xf numFmtId="0" fontId="11" fillId="0" borderId="62" xfId="0" applyFont="1" applyBorder="1" applyAlignment="1">
      <alignment horizontal="right" vertical="center"/>
    </xf>
    <xf numFmtId="0" fontId="49" fillId="0" borderId="0" xfId="0" applyFont="1" applyAlignment="1">
      <alignment wrapText="1" readingOrder="1"/>
    </xf>
    <xf numFmtId="0" fontId="52" fillId="31" borderId="13" xfId="0" applyFont="1" applyFill="1" applyBorder="1" applyAlignment="1">
      <alignment wrapText="1" readingOrder="1"/>
    </xf>
    <xf numFmtId="0" fontId="52" fillId="20" borderId="43" xfId="0" applyFont="1" applyFill="1" applyBorder="1" applyAlignment="1">
      <alignment wrapText="1" readingOrder="1"/>
    </xf>
    <xf numFmtId="0" fontId="51" fillId="0" borderId="0" xfId="0" applyFont="1" applyAlignment="1">
      <alignment wrapText="1" readingOrder="1"/>
    </xf>
    <xf numFmtId="0" fontId="53" fillId="0" borderId="0" xfId="0" applyFont="1" applyAlignment="1">
      <alignment wrapText="1" readingOrder="1"/>
    </xf>
    <xf numFmtId="166" fontId="33" fillId="0" borderId="12" xfId="0" applyNumberFormat="1" applyFont="1" applyBorder="1" applyAlignment="1">
      <alignment horizontal="right" vertical="center"/>
    </xf>
    <xf numFmtId="166" fontId="11" fillId="0" borderId="13" xfId="0" applyNumberFormat="1" applyFont="1" applyBorder="1" applyAlignment="1">
      <alignment horizontal="right" vertical="center" wrapText="1"/>
    </xf>
    <xf numFmtId="166" fontId="11" fillId="12" borderId="13" xfId="3" applyNumberFormat="1" applyFont="1" applyFill="1" applyBorder="1" applyAlignment="1">
      <alignment horizontal="right" vertical="center"/>
    </xf>
    <xf numFmtId="166" fontId="11" fillId="0" borderId="13" xfId="0" applyNumberFormat="1" applyFont="1" applyBorder="1" applyAlignment="1">
      <alignment horizontal="right" vertical="center"/>
    </xf>
    <xf numFmtId="166" fontId="11" fillId="0" borderId="13" xfId="3" applyNumberFormat="1" applyFont="1" applyFill="1" applyBorder="1" applyAlignment="1">
      <alignment horizontal="right" vertical="center"/>
    </xf>
    <xf numFmtId="166" fontId="11" fillId="0" borderId="13" xfId="3" quotePrefix="1" applyNumberFormat="1" applyFont="1" applyFill="1" applyBorder="1" applyAlignment="1">
      <alignment horizontal="right" vertical="center"/>
    </xf>
    <xf numFmtId="0" fontId="25" fillId="3" borderId="3" xfId="0" applyFont="1" applyFill="1" applyBorder="1" applyAlignment="1">
      <alignment vertical="center"/>
    </xf>
    <xf numFmtId="0" fontId="25" fillId="3" borderId="0" xfId="0" applyFont="1" applyFill="1" applyAlignment="1">
      <alignment vertical="center"/>
    </xf>
    <xf numFmtId="0" fontId="25" fillId="11" borderId="3" xfId="2" applyFont="1" applyFill="1" applyBorder="1" applyAlignment="1">
      <alignment horizontal="left" vertical="center"/>
    </xf>
    <xf numFmtId="0" fontId="25" fillId="11" borderId="0" xfId="2" applyFont="1" applyFill="1" applyBorder="1" applyAlignment="1">
      <alignment horizontal="center" vertical="center"/>
    </xf>
    <xf numFmtId="0" fontId="25" fillId="11" borderId="0" xfId="2" applyFont="1" applyFill="1" applyBorder="1" applyAlignment="1">
      <alignment horizontal="left" vertical="center"/>
    </xf>
    <xf numFmtId="0" fontId="25" fillId="3" borderId="3" xfId="2" applyFont="1" applyFill="1" applyBorder="1" applyAlignment="1">
      <alignment horizontal="left" vertical="center"/>
    </xf>
    <xf numFmtId="0" fontId="25" fillId="3" borderId="0" xfId="2" applyFont="1" applyFill="1" applyBorder="1" applyAlignment="1">
      <alignment horizontal="center" vertical="center"/>
    </xf>
    <xf numFmtId="0" fontId="25" fillId="3" borderId="0" xfId="2" applyFont="1" applyFill="1" applyBorder="1" applyAlignment="1">
      <alignment horizontal="left" vertical="center"/>
    </xf>
    <xf numFmtId="9" fontId="27" fillId="12" borderId="13" xfId="0" applyNumberFormat="1" applyFont="1" applyFill="1" applyBorder="1" applyAlignment="1">
      <alignment horizontal="right" vertical="center"/>
    </xf>
    <xf numFmtId="2" fontId="22" fillId="4" borderId="35" xfId="0" applyNumberFormat="1" applyFont="1" applyFill="1" applyBorder="1" applyAlignment="1">
      <alignment horizontal="right" vertical="center" wrapText="1"/>
    </xf>
    <xf numFmtId="3" fontId="11" fillId="4" borderId="3" xfId="0" applyNumberFormat="1" applyFont="1" applyFill="1" applyBorder="1" applyAlignment="1">
      <alignment horizontal="right" vertical="center" wrapText="1"/>
    </xf>
    <xf numFmtId="3" fontId="17" fillId="9" borderId="27" xfId="3" applyNumberFormat="1" applyFont="1" applyBorder="1" applyAlignment="1">
      <alignment horizontal="right" vertical="center" wrapText="1"/>
    </xf>
    <xf numFmtId="3" fontId="11" fillId="4" borderId="42" xfId="0" applyNumberFormat="1" applyFont="1" applyFill="1" applyBorder="1" applyAlignment="1">
      <alignment horizontal="right" vertical="center" wrapText="1"/>
    </xf>
    <xf numFmtId="3" fontId="11" fillId="12" borderId="42" xfId="3" applyNumberFormat="1" applyFont="1" applyFill="1" applyBorder="1" applyAlignment="1">
      <alignment horizontal="right" vertical="center" wrapText="1"/>
    </xf>
    <xf numFmtId="1" fontId="11" fillId="0" borderId="42" xfId="0" applyNumberFormat="1" applyFont="1" applyBorder="1" applyAlignment="1">
      <alignment horizontal="right" vertical="center"/>
    </xf>
    <xf numFmtId="0" fontId="27" fillId="12" borderId="27" xfId="0" applyFont="1" applyFill="1" applyBorder="1" applyAlignment="1">
      <alignment horizontal="center" vertical="center" wrapText="1"/>
    </xf>
    <xf numFmtId="0" fontId="22" fillId="12" borderId="13" xfId="0" applyFont="1" applyFill="1" applyBorder="1" applyAlignment="1">
      <alignment horizontal="center" vertical="center" wrapText="1"/>
    </xf>
    <xf numFmtId="0" fontId="22" fillId="12" borderId="16" xfId="0" applyFont="1" applyFill="1" applyBorder="1" applyAlignment="1">
      <alignment horizontal="center" vertical="center" wrapText="1"/>
    </xf>
    <xf numFmtId="0" fontId="17" fillId="32" borderId="10" xfId="8" applyFont="1" applyBorder="1" applyAlignment="1">
      <alignment horizontal="center" vertical="center" wrapText="1"/>
    </xf>
    <xf numFmtId="0" fontId="25" fillId="35" borderId="10" xfId="0" applyFont="1" applyFill="1" applyBorder="1" applyAlignment="1">
      <alignment horizontal="center" vertical="center" wrapText="1"/>
    </xf>
    <xf numFmtId="0" fontId="11" fillId="36" borderId="12" xfId="3" applyFont="1" applyFill="1" applyBorder="1" applyAlignment="1">
      <alignment vertical="center" wrapText="1"/>
    </xf>
    <xf numFmtId="9" fontId="11" fillId="0" borderId="13" xfId="5" applyFont="1" applyBorder="1" applyAlignment="1">
      <alignment vertical="center"/>
    </xf>
    <xf numFmtId="3" fontId="22" fillId="12" borderId="13" xfId="0" applyNumberFormat="1" applyFont="1" applyFill="1" applyBorder="1" applyAlignment="1">
      <alignment horizontal="center" vertical="center" wrapText="1"/>
    </xf>
    <xf numFmtId="0" fontId="25" fillId="35" borderId="59" xfId="0" applyFont="1" applyFill="1" applyBorder="1" applyAlignment="1">
      <alignment horizontal="center" vertical="center" wrapText="1"/>
    </xf>
    <xf numFmtId="0" fontId="22" fillId="12" borderId="60" xfId="0" applyFont="1" applyFill="1" applyBorder="1" applyAlignment="1">
      <alignment horizontal="center" vertical="center" wrapText="1"/>
    </xf>
    <xf numFmtId="4" fontId="22" fillId="12" borderId="45" xfId="0" applyNumberFormat="1" applyFont="1" applyFill="1" applyBorder="1" applyAlignment="1">
      <alignment horizontal="center" vertical="center" wrapText="1"/>
    </xf>
    <xf numFmtId="0" fontId="27" fillId="12" borderId="54" xfId="0" applyFont="1" applyFill="1" applyBorder="1" applyAlignment="1">
      <alignment horizontal="center" vertical="center" wrapText="1"/>
    </xf>
    <xf numFmtId="0" fontId="17" fillId="32" borderId="59" xfId="8" applyFont="1" applyBorder="1" applyAlignment="1">
      <alignment horizontal="center" vertical="center" wrapText="1"/>
    </xf>
    <xf numFmtId="0" fontId="9" fillId="34" borderId="0" xfId="0" applyFont="1" applyFill="1" applyAlignment="1">
      <alignment vertical="center" wrapText="1"/>
    </xf>
    <xf numFmtId="0" fontId="22" fillId="0" borderId="13" xfId="0" applyFont="1" applyBorder="1" applyAlignment="1">
      <alignment horizontal="center" vertical="center" wrapText="1"/>
    </xf>
    <xf numFmtId="3" fontId="22" fillId="0" borderId="13" xfId="0" applyNumberFormat="1" applyFont="1" applyBorder="1" applyAlignment="1">
      <alignment horizontal="center" vertical="center" wrapText="1"/>
    </xf>
    <xf numFmtId="3" fontId="22" fillId="0" borderId="45" xfId="0" applyNumberFormat="1" applyFont="1" applyBorder="1" applyAlignment="1">
      <alignment horizontal="center" vertical="center" wrapText="1"/>
    </xf>
    <xf numFmtId="3" fontId="22" fillId="12" borderId="45" xfId="0" applyNumberFormat="1" applyFont="1" applyFill="1" applyBorder="1" applyAlignment="1">
      <alignment horizontal="center" vertical="center" wrapText="1"/>
    </xf>
    <xf numFmtId="1" fontId="22" fillId="12" borderId="13" xfId="0" applyNumberFormat="1" applyFont="1" applyFill="1" applyBorder="1" applyAlignment="1">
      <alignment horizontal="center" vertical="center" wrapText="1"/>
    </xf>
    <xf numFmtId="165" fontId="22" fillId="12" borderId="45" xfId="0" applyNumberFormat="1" applyFont="1" applyFill="1" applyBorder="1" applyAlignment="1">
      <alignment horizontal="center" vertical="center" wrapText="1"/>
    </xf>
    <xf numFmtId="166" fontId="22" fillId="0" borderId="45" xfId="0" applyNumberFormat="1" applyFont="1" applyBorder="1" applyAlignment="1">
      <alignment horizontal="center" vertical="center" wrapText="1"/>
    </xf>
    <xf numFmtId="166" fontId="22" fillId="0" borderId="13" xfId="0" applyNumberFormat="1" applyFont="1" applyBorder="1" applyAlignment="1">
      <alignment horizontal="center" vertical="center" wrapText="1"/>
    </xf>
    <xf numFmtId="0" fontId="22" fillId="3" borderId="13" xfId="0" applyFont="1" applyFill="1" applyBorder="1" applyAlignment="1">
      <alignment horizontal="center" vertical="center" wrapText="1"/>
    </xf>
    <xf numFmtId="1" fontId="22" fillId="3" borderId="13" xfId="0" applyNumberFormat="1" applyFont="1" applyFill="1" applyBorder="1" applyAlignment="1">
      <alignment horizontal="center" vertical="center" wrapText="1"/>
    </xf>
    <xf numFmtId="3" fontId="22" fillId="3" borderId="45" xfId="0" applyNumberFormat="1" applyFont="1" applyFill="1" applyBorder="1" applyAlignment="1">
      <alignment horizontal="center" vertical="center" wrapText="1"/>
    </xf>
    <xf numFmtId="9" fontId="11" fillId="12" borderId="45" xfId="5" quotePrefix="1" applyFont="1" applyFill="1" applyBorder="1" applyAlignment="1">
      <alignment horizontal="right" vertical="center"/>
    </xf>
    <xf numFmtId="9" fontId="11" fillId="0" borderId="45" xfId="5" quotePrefix="1" applyFont="1" applyBorder="1" applyAlignment="1">
      <alignment horizontal="right" vertical="center"/>
    </xf>
    <xf numFmtId="0" fontId="28" fillId="0" borderId="0" xfId="4" applyFont="1" applyFill="1" applyBorder="1" applyAlignment="1">
      <alignment horizontal="left" vertical="center"/>
    </xf>
    <xf numFmtId="0" fontId="30" fillId="0" borderId="14" xfId="0" applyFont="1" applyBorder="1" applyAlignment="1">
      <alignment vertical="center" wrapText="1"/>
    </xf>
    <xf numFmtId="0" fontId="30" fillId="0" borderId="27" xfId="0" applyFont="1" applyBorder="1" applyAlignment="1">
      <alignment vertical="center" wrapText="1"/>
    </xf>
    <xf numFmtId="0" fontId="30" fillId="0" borderId="11" xfId="0" applyFont="1" applyBorder="1" applyAlignment="1">
      <alignment vertical="center" wrapText="1"/>
    </xf>
    <xf numFmtId="167" fontId="22" fillId="0" borderId="0" xfId="0" applyNumberFormat="1" applyFont="1" applyAlignment="1">
      <alignment horizontal="right" vertical="center"/>
    </xf>
    <xf numFmtId="167" fontId="22" fillId="12" borderId="0" xfId="0" applyNumberFormat="1" applyFont="1" applyFill="1" applyAlignment="1">
      <alignment horizontal="right" vertical="center"/>
    </xf>
    <xf numFmtId="167" fontId="22" fillId="12" borderId="31" xfId="0" applyNumberFormat="1" applyFont="1" applyFill="1" applyBorder="1" applyAlignment="1">
      <alignment horizontal="right" vertical="center"/>
    </xf>
    <xf numFmtId="0" fontId="45" fillId="8" borderId="0" xfId="0" applyFont="1" applyFill="1" applyAlignment="1">
      <alignment vertical="center"/>
    </xf>
    <xf numFmtId="168" fontId="29" fillId="0" borderId="10" xfId="1" applyNumberFormat="1" applyFont="1" applyBorder="1" applyAlignment="1">
      <alignment horizontal="right" vertical="center"/>
    </xf>
    <xf numFmtId="49" fontId="25" fillId="8" borderId="0" xfId="0" applyNumberFormat="1" applyFont="1" applyFill="1" applyAlignment="1">
      <alignment horizontal="left" vertical="center" wrapText="1"/>
    </xf>
    <xf numFmtId="49" fontId="26" fillId="37" borderId="10" xfId="0" applyNumberFormat="1" applyFont="1" applyFill="1" applyBorder="1" applyAlignment="1">
      <alignment horizontal="right" vertical="center" wrapText="1"/>
    </xf>
    <xf numFmtId="49" fontId="25" fillId="0" borderId="10" xfId="0" applyNumberFormat="1" applyFont="1" applyBorder="1" applyAlignment="1">
      <alignment horizontal="right" vertical="center" wrapText="1"/>
    </xf>
    <xf numFmtId="0" fontId="11" fillId="0" borderId="12" xfId="0" applyFont="1" applyBorder="1" applyAlignment="1">
      <alignment vertical="center" wrapText="1"/>
    </xf>
    <xf numFmtId="3" fontId="22" fillId="12" borderId="45" xfId="1" applyNumberFormat="1" applyFont="1" applyFill="1" applyBorder="1" applyAlignment="1">
      <alignment horizontal="center" vertical="center" wrapText="1"/>
    </xf>
    <xf numFmtId="3" fontId="22" fillId="0" borderId="45" xfId="1" applyNumberFormat="1" applyFont="1" applyBorder="1" applyAlignment="1">
      <alignment horizontal="center" vertical="center" wrapText="1"/>
    </xf>
    <xf numFmtId="0" fontId="22" fillId="11" borderId="13" xfId="0" applyFont="1" applyFill="1" applyBorder="1" applyAlignment="1">
      <alignment horizontal="center" vertical="center" wrapText="1"/>
    </xf>
    <xf numFmtId="165" fontId="22" fillId="0" borderId="45" xfId="0" applyNumberFormat="1" applyFont="1" applyBorder="1" applyAlignment="1">
      <alignment horizontal="center" vertical="center" wrapText="1"/>
    </xf>
    <xf numFmtId="165" fontId="22" fillId="12" borderId="13" xfId="0" applyNumberFormat="1" applyFont="1" applyFill="1" applyBorder="1" applyAlignment="1">
      <alignment horizontal="center" vertical="center" wrapText="1"/>
    </xf>
    <xf numFmtId="165" fontId="22" fillId="0" borderId="13" xfId="0" applyNumberFormat="1" applyFont="1" applyBorder="1" applyAlignment="1">
      <alignment horizontal="center" vertical="center" wrapText="1"/>
    </xf>
    <xf numFmtId="3" fontId="25" fillId="35" borderId="10" xfId="0" applyNumberFormat="1" applyFont="1" applyFill="1" applyBorder="1" applyAlignment="1">
      <alignment horizontal="center" vertical="center" wrapText="1"/>
    </xf>
    <xf numFmtId="3" fontId="25" fillId="35" borderId="59" xfId="0" applyNumberFormat="1" applyFont="1" applyFill="1" applyBorder="1" applyAlignment="1">
      <alignment horizontal="center" vertical="center" wrapText="1"/>
    </xf>
    <xf numFmtId="0" fontId="17" fillId="12" borderId="31" xfId="4" applyFont="1" applyFill="1" applyBorder="1" applyAlignment="1">
      <alignment horizontal="center" vertical="center" wrapText="1" readingOrder="1"/>
    </xf>
    <xf numFmtId="0" fontId="17" fillId="12" borderId="31" xfId="4" applyFont="1" applyFill="1" applyBorder="1" applyAlignment="1">
      <alignment vertical="center" wrapText="1" readingOrder="1"/>
    </xf>
    <xf numFmtId="1" fontId="22" fillId="2" borderId="13" xfId="0" applyNumberFormat="1" applyFont="1" applyFill="1" applyBorder="1" applyAlignment="1">
      <alignment horizontal="right" vertical="center" wrapText="1" readingOrder="1"/>
    </xf>
    <xf numFmtId="0" fontId="22" fillId="0" borderId="3" xfId="0" applyFont="1" applyBorder="1" applyAlignment="1">
      <alignment horizontal="left" vertical="center" wrapText="1" readingOrder="1"/>
    </xf>
    <xf numFmtId="0" fontId="22" fillId="2" borderId="3" xfId="0" applyFont="1" applyFill="1" applyBorder="1" applyAlignment="1">
      <alignment horizontal="left" vertical="center" wrapText="1" readingOrder="1"/>
    </xf>
    <xf numFmtId="0" fontId="22" fillId="0" borderId="101" xfId="0" applyFont="1" applyBorder="1" applyAlignment="1">
      <alignment horizontal="left" vertical="center" wrapText="1" readingOrder="1"/>
    </xf>
    <xf numFmtId="0" fontId="17" fillId="12" borderId="37" xfId="4" applyFont="1" applyFill="1" applyBorder="1" applyAlignment="1">
      <alignment horizontal="center" vertical="center" wrapText="1" readingOrder="1"/>
    </xf>
    <xf numFmtId="0" fontId="17" fillId="12" borderId="62" xfId="4" applyFont="1" applyFill="1" applyBorder="1" applyAlignment="1">
      <alignment horizontal="center" vertical="center" wrapText="1"/>
    </xf>
    <xf numFmtId="0" fontId="17" fillId="12" borderId="62" xfId="4" applyFont="1" applyFill="1" applyBorder="1" applyAlignment="1">
      <alignment horizontal="right" vertical="center" wrapText="1"/>
    </xf>
    <xf numFmtId="0" fontId="17" fillId="12" borderId="71" xfId="4" applyFont="1" applyFill="1" applyBorder="1" applyAlignment="1">
      <alignment horizontal="right" vertical="center" wrapText="1"/>
    </xf>
    <xf numFmtId="0" fontId="17" fillId="12" borderId="84" xfId="4" applyFont="1" applyFill="1" applyBorder="1" applyAlignment="1">
      <alignment horizontal="right" vertical="center" wrapText="1" readingOrder="1"/>
    </xf>
    <xf numFmtId="0" fontId="25" fillId="3" borderId="0" xfId="0" applyFont="1" applyFill="1" applyAlignment="1">
      <alignment horizontal="center" vertical="center"/>
    </xf>
    <xf numFmtId="0" fontId="11" fillId="0" borderId="17" xfId="0" quotePrefix="1" applyFont="1" applyBorder="1" applyAlignment="1">
      <alignment vertical="center"/>
    </xf>
    <xf numFmtId="0" fontId="17" fillId="10" borderId="79" xfId="4" applyFont="1" applyBorder="1" applyAlignment="1">
      <alignment vertical="center" wrapText="1"/>
    </xf>
    <xf numFmtId="0" fontId="11" fillId="0" borderId="3" xfId="0" applyFont="1" applyBorder="1" applyAlignment="1">
      <alignment vertical="center"/>
    </xf>
    <xf numFmtId="0" fontId="11" fillId="0" borderId="12" xfId="0" applyFont="1" applyBorder="1" applyAlignment="1">
      <alignment vertical="center"/>
    </xf>
    <xf numFmtId="0" fontId="11" fillId="9" borderId="3" xfId="3" applyFont="1" applyBorder="1" applyAlignment="1">
      <alignment horizontal="left" vertical="center"/>
    </xf>
    <xf numFmtId="0" fontId="11" fillId="9" borderId="12" xfId="3" applyFont="1" applyBorder="1" applyAlignment="1">
      <alignment horizontal="left" vertical="center"/>
    </xf>
    <xf numFmtId="0" fontId="11" fillId="4" borderId="3" xfId="2" applyFont="1" applyFill="1" applyBorder="1" applyAlignment="1">
      <alignment horizontal="left" vertical="center" wrapText="1"/>
    </xf>
    <xf numFmtId="0" fontId="11" fillId="4" borderId="12" xfId="2" applyFont="1" applyFill="1" applyBorder="1" applyAlignment="1">
      <alignment horizontal="left" vertical="center" wrapText="1"/>
    </xf>
    <xf numFmtId="0" fontId="11" fillId="0" borderId="3" xfId="3" applyFont="1" applyFill="1" applyBorder="1" applyAlignment="1">
      <alignment horizontal="left" vertical="center"/>
    </xf>
    <xf numFmtId="0" fontId="11" fillId="0" borderId="0" xfId="3" applyFont="1" applyFill="1" applyBorder="1" applyAlignment="1">
      <alignment horizontal="left" vertical="center"/>
    </xf>
    <xf numFmtId="0" fontId="11" fillId="0" borderId="0" xfId="3" applyFont="1" applyFill="1" applyBorder="1" applyAlignment="1">
      <alignment horizontal="center" vertical="center"/>
    </xf>
    <xf numFmtId="0" fontId="11" fillId="0" borderId="0" xfId="3" applyFont="1" applyFill="1" applyBorder="1" applyAlignment="1">
      <alignment vertical="center"/>
    </xf>
    <xf numFmtId="0" fontId="11" fillId="11" borderId="3" xfId="0" quotePrefix="1" applyFont="1" applyFill="1" applyBorder="1" applyAlignment="1">
      <alignment vertical="center"/>
    </xf>
    <xf numFmtId="0" fontId="11" fillId="11" borderId="0" xfId="0" quotePrefix="1" applyFont="1" applyFill="1" applyAlignment="1">
      <alignment horizontal="center" vertical="center"/>
    </xf>
    <xf numFmtId="0" fontId="11" fillId="11" borderId="12" xfId="0" quotePrefix="1" applyFont="1" applyFill="1" applyBorder="1" applyAlignment="1">
      <alignment vertical="center"/>
    </xf>
    <xf numFmtId="0" fontId="11" fillId="0" borderId="3" xfId="3" quotePrefix="1" applyFont="1" applyFill="1" applyBorder="1" applyAlignment="1">
      <alignment horizontal="left" vertical="center"/>
    </xf>
    <xf numFmtId="0" fontId="11" fillId="11" borderId="17" xfId="0" applyFont="1" applyFill="1" applyBorder="1" applyAlignment="1">
      <alignment vertical="center"/>
    </xf>
    <xf numFmtId="0" fontId="11" fillId="11" borderId="2" xfId="0" applyFont="1" applyFill="1" applyBorder="1" applyAlignment="1">
      <alignment vertical="center"/>
    </xf>
    <xf numFmtId="0" fontId="11" fillId="11" borderId="2" xfId="0" applyFont="1" applyFill="1" applyBorder="1" applyAlignment="1">
      <alignment horizontal="center" vertical="center"/>
    </xf>
    <xf numFmtId="0" fontId="11" fillId="11" borderId="15" xfId="0" applyFont="1" applyFill="1" applyBorder="1" applyAlignment="1">
      <alignment vertical="center"/>
    </xf>
    <xf numFmtId="165" fontId="22" fillId="0" borderId="45" xfId="1" applyNumberFormat="1" applyFont="1" applyBorder="1" applyAlignment="1">
      <alignment horizontal="center" vertical="center" wrapText="1"/>
    </xf>
    <xf numFmtId="0" fontId="17" fillId="0" borderId="10" xfId="0" applyFont="1" applyBorder="1" applyAlignment="1">
      <alignment horizontal="left" vertical="center"/>
    </xf>
    <xf numFmtId="0" fontId="17" fillId="0" borderId="10" xfId="0" applyFont="1" applyBorder="1" applyAlignment="1">
      <alignment vertical="center" wrapText="1"/>
    </xf>
    <xf numFmtId="0" fontId="17" fillId="0" borderId="9" xfId="0" applyFont="1" applyBorder="1" applyAlignment="1">
      <alignment vertical="center" wrapText="1"/>
    </xf>
    <xf numFmtId="0" fontId="25" fillId="0" borderId="2" xfId="2" quotePrefix="1" applyFont="1" applyFill="1" applyBorder="1" applyAlignment="1">
      <alignment horizontal="center" vertical="center"/>
    </xf>
    <xf numFmtId="168" fontId="17" fillId="0" borderId="0" xfId="0" applyNumberFormat="1" applyFont="1" applyAlignment="1">
      <alignment horizontal="right" vertical="center"/>
    </xf>
    <xf numFmtId="168" fontId="34" fillId="0" borderId="0" xfId="0" applyNumberFormat="1" applyFont="1" applyAlignment="1">
      <alignment horizontal="right" vertical="center"/>
    </xf>
    <xf numFmtId="10" fontId="11" fillId="0" borderId="13" xfId="5" applyNumberFormat="1" applyFont="1" applyBorder="1" applyAlignment="1">
      <alignment vertical="center"/>
    </xf>
    <xf numFmtId="9" fontId="25" fillId="0" borderId="10" xfId="5" applyFont="1" applyBorder="1" applyAlignment="1">
      <alignment horizontal="right" vertical="center" wrapText="1"/>
    </xf>
    <xf numFmtId="167" fontId="25" fillId="0" borderId="10" xfId="5" applyNumberFormat="1" applyFont="1" applyBorder="1" applyAlignment="1">
      <alignment horizontal="right" vertical="center" wrapText="1"/>
    </xf>
    <xf numFmtId="49" fontId="22" fillId="0" borderId="45" xfId="0" applyNumberFormat="1" applyFont="1" applyBorder="1" applyAlignment="1">
      <alignment horizontal="center" vertical="center" wrapText="1"/>
    </xf>
    <xf numFmtId="0" fontId="35" fillId="0" borderId="45" xfId="0" applyFont="1" applyBorder="1" applyAlignment="1">
      <alignment horizontal="right" vertical="center" wrapText="1"/>
    </xf>
    <xf numFmtId="0" fontId="28" fillId="37" borderId="10" xfId="0" applyFont="1" applyFill="1" applyBorder="1" applyAlignment="1">
      <alignment vertical="center"/>
    </xf>
    <xf numFmtId="168" fontId="28" fillId="33" borderId="10" xfId="1" applyNumberFormat="1" applyFont="1" applyFill="1" applyBorder="1" applyAlignment="1">
      <alignment horizontal="right" vertical="center"/>
    </xf>
    <xf numFmtId="168" fontId="28" fillId="12" borderId="10" xfId="1" applyNumberFormat="1" applyFont="1" applyFill="1" applyBorder="1" applyAlignment="1">
      <alignment horizontal="right" vertical="center"/>
    </xf>
    <xf numFmtId="0" fontId="6" fillId="0" borderId="0" xfId="0" applyFont="1"/>
    <xf numFmtId="0" fontId="29" fillId="0" borderId="0" xfId="0" applyFont="1"/>
    <xf numFmtId="0" fontId="29" fillId="0" borderId="0" xfId="0" applyFont="1" applyAlignment="1">
      <alignment wrapText="1"/>
    </xf>
    <xf numFmtId="4" fontId="29" fillId="20" borderId="12" xfId="0" applyNumberFormat="1" applyFont="1" applyFill="1" applyBorder="1" applyAlignment="1">
      <alignment wrapText="1" readingOrder="1"/>
    </xf>
    <xf numFmtId="0" fontId="29" fillId="20" borderId="12" xfId="0" applyFont="1" applyFill="1" applyBorder="1"/>
    <xf numFmtId="0" fontId="29" fillId="0" borderId="31" xfId="0" applyFont="1" applyBorder="1"/>
    <xf numFmtId="0" fontId="29" fillId="0" borderId="42" xfId="0" applyFont="1" applyBorder="1" applyAlignment="1">
      <alignment horizontal="center" wrapText="1" readingOrder="1"/>
    </xf>
    <xf numFmtId="0" fontId="29" fillId="0" borderId="0" xfId="0" applyFont="1" applyAlignment="1">
      <alignment wrapText="1" readingOrder="1"/>
    </xf>
    <xf numFmtId="0" fontId="29" fillId="20" borderId="42" xfId="0" applyFont="1" applyFill="1" applyBorder="1" applyAlignment="1">
      <alignment horizontal="center" wrapText="1" readingOrder="1"/>
    </xf>
    <xf numFmtId="0" fontId="29" fillId="31" borderId="13" xfId="0" applyFont="1" applyFill="1" applyBorder="1" applyAlignment="1">
      <alignment wrapText="1" readingOrder="1"/>
    </xf>
    <xf numFmtId="0" fontId="29" fillId="20" borderId="0" xfId="0" applyFont="1" applyFill="1" applyAlignment="1">
      <alignment horizontal="center" wrapText="1" readingOrder="1"/>
    </xf>
    <xf numFmtId="0" fontId="29" fillId="20" borderId="13" xfId="0" applyFont="1" applyFill="1" applyBorder="1" applyAlignment="1">
      <alignment wrapText="1" readingOrder="1"/>
    </xf>
    <xf numFmtId="3" fontId="29" fillId="0" borderId="13" xfId="0" applyNumberFormat="1" applyFont="1" applyBorder="1" applyAlignment="1">
      <alignment wrapText="1" readingOrder="1"/>
    </xf>
    <xf numFmtId="0" fontId="29" fillId="0" borderId="13" xfId="0" applyFont="1" applyBorder="1" applyAlignment="1">
      <alignment wrapText="1" readingOrder="1"/>
    </xf>
    <xf numFmtId="3" fontId="29" fillId="31" borderId="13" xfId="0" applyNumberFormat="1" applyFont="1" applyFill="1" applyBorder="1" applyAlignment="1">
      <alignment wrapText="1" readingOrder="1"/>
    </xf>
    <xf numFmtId="3" fontId="29" fillId="20" borderId="13" xfId="0" applyNumberFormat="1" applyFont="1" applyFill="1" applyBorder="1" applyAlignment="1">
      <alignment wrapText="1" readingOrder="1"/>
    </xf>
    <xf numFmtId="0" fontId="29" fillId="0" borderId="52" xfId="0" applyFont="1" applyBorder="1" applyAlignment="1">
      <alignment horizontal="center" wrapText="1" readingOrder="1"/>
    </xf>
    <xf numFmtId="0" fontId="29" fillId="0" borderId="37" xfId="0" applyFont="1" applyBorder="1" applyAlignment="1">
      <alignment wrapText="1" readingOrder="1"/>
    </xf>
    <xf numFmtId="0" fontId="29" fillId="0" borderId="31" xfId="0" applyFont="1" applyBorder="1" applyAlignment="1">
      <alignment horizontal="center" wrapText="1" readingOrder="1"/>
    </xf>
    <xf numFmtId="0" fontId="29" fillId="20" borderId="31" xfId="0" applyFont="1" applyFill="1" applyBorder="1" applyAlignment="1">
      <alignment horizontal="center" wrapText="1" readingOrder="1"/>
    </xf>
    <xf numFmtId="0" fontId="29" fillId="20" borderId="37" xfId="0" applyFont="1" applyFill="1" applyBorder="1" applyAlignment="1">
      <alignment wrapText="1" readingOrder="1"/>
    </xf>
    <xf numFmtId="0" fontId="28" fillId="0" borderId="0" xfId="0" applyFont="1" applyAlignment="1">
      <alignment textRotation="90"/>
    </xf>
    <xf numFmtId="0" fontId="29" fillId="20" borderId="52" xfId="0" applyFont="1" applyFill="1" applyBorder="1" applyAlignment="1">
      <alignment horizontal="center" wrapText="1" readingOrder="1"/>
    </xf>
    <xf numFmtId="0" fontId="28" fillId="12" borderId="10" xfId="0" applyFont="1" applyFill="1" applyBorder="1" applyAlignment="1">
      <alignment vertical="center"/>
    </xf>
    <xf numFmtId="9" fontId="27" fillId="0" borderId="13" xfId="0" applyNumberFormat="1" applyFont="1" applyBorder="1" applyAlignment="1">
      <alignment horizontal="right" vertical="center"/>
    </xf>
    <xf numFmtId="2" fontId="27" fillId="9" borderId="8" xfId="3" applyNumberFormat="1" applyFont="1" applyBorder="1" applyAlignment="1">
      <alignment horizontal="right" vertical="center"/>
    </xf>
    <xf numFmtId="4" fontId="27" fillId="4" borderId="27" xfId="1" applyNumberFormat="1" applyFont="1" applyFill="1" applyBorder="1" applyAlignment="1">
      <alignment horizontal="right" vertical="center"/>
    </xf>
    <xf numFmtId="4" fontId="27" fillId="4" borderId="13" xfId="1" applyNumberFormat="1" applyFont="1" applyFill="1" applyBorder="1" applyAlignment="1">
      <alignment horizontal="right" vertical="center"/>
    </xf>
    <xf numFmtId="4" fontId="27" fillId="12" borderId="13" xfId="1" applyNumberFormat="1" applyFont="1" applyFill="1" applyBorder="1" applyAlignment="1">
      <alignment horizontal="right" vertical="center"/>
    </xf>
    <xf numFmtId="4" fontId="11" fillId="0" borderId="13" xfId="1" applyNumberFormat="1" applyFont="1" applyBorder="1" applyAlignment="1">
      <alignment vertical="center"/>
    </xf>
    <xf numFmtId="0" fontId="11" fillId="0" borderId="0" xfId="0" quotePrefix="1" applyFont="1" applyAlignment="1">
      <alignment vertical="center"/>
    </xf>
    <xf numFmtId="4" fontId="11" fillId="0" borderId="16" xfId="1" applyNumberFormat="1" applyFont="1" applyBorder="1" applyAlignment="1">
      <alignment vertical="center"/>
    </xf>
    <xf numFmtId="9" fontId="11" fillId="0" borderId="16" xfId="5" applyFont="1" applyBorder="1" applyAlignment="1">
      <alignment vertical="center"/>
    </xf>
    <xf numFmtId="4" fontId="28" fillId="12" borderId="10" xfId="0" applyNumberFormat="1" applyFont="1" applyFill="1" applyBorder="1" applyAlignment="1">
      <alignment horizontal="right" vertical="center"/>
    </xf>
    <xf numFmtId="4" fontId="29" fillId="0" borderId="10" xfId="0" applyNumberFormat="1" applyFont="1" applyBorder="1" applyAlignment="1">
      <alignment horizontal="right" vertical="center"/>
    </xf>
    <xf numFmtId="4" fontId="28" fillId="33" borderId="10" xfId="0" applyNumberFormat="1" applyFont="1" applyFill="1" applyBorder="1" applyAlignment="1">
      <alignment horizontal="right" vertical="center"/>
    </xf>
    <xf numFmtId="4" fontId="28" fillId="0" borderId="10" xfId="0" applyNumberFormat="1" applyFont="1" applyBorder="1" applyAlignment="1">
      <alignment horizontal="right" vertical="center"/>
    </xf>
    <xf numFmtId="0" fontId="22" fillId="0" borderId="13" xfId="0" applyFont="1" applyBorder="1" applyAlignment="1">
      <alignment horizontal="center" vertical="center" wrapText="1" readingOrder="1"/>
    </xf>
    <xf numFmtId="0" fontId="29" fillId="3" borderId="3" xfId="0" applyFont="1" applyFill="1" applyBorder="1" applyAlignment="1">
      <alignment horizontal="left" vertical="center" wrapText="1" readingOrder="1"/>
    </xf>
    <xf numFmtId="0" fontId="0" fillId="0" borderId="0" xfId="0" applyAlignment="1">
      <alignment wrapText="1"/>
    </xf>
    <xf numFmtId="10" fontId="26" fillId="12" borderId="10" xfId="5" applyNumberFormat="1" applyFont="1" applyFill="1" applyBorder="1" applyAlignment="1">
      <alignment horizontal="right" vertical="center" wrapText="1"/>
    </xf>
    <xf numFmtId="9" fontId="26" fillId="12" borderId="10" xfId="5" applyFont="1" applyFill="1" applyBorder="1" applyAlignment="1">
      <alignment horizontal="right" vertical="center" wrapText="1"/>
    </xf>
    <xf numFmtId="0" fontId="29" fillId="20" borderId="31" xfId="0" applyFont="1" applyFill="1" applyBorder="1" applyAlignment="1">
      <alignment wrapText="1" readingOrder="1"/>
    </xf>
    <xf numFmtId="0" fontId="29" fillId="0" borderId="31" xfId="0" applyFont="1" applyBorder="1" applyAlignment="1">
      <alignment wrapText="1" readingOrder="1"/>
    </xf>
    <xf numFmtId="0" fontId="22" fillId="12" borderId="0" xfId="0" applyFont="1" applyFill="1" applyAlignment="1">
      <alignment horizontal="center" vertical="center" wrapText="1"/>
    </xf>
    <xf numFmtId="0" fontId="22" fillId="0" borderId="0" xfId="0" applyFont="1" applyAlignment="1">
      <alignment horizontal="center" vertical="center" wrapText="1"/>
    </xf>
    <xf numFmtId="0" fontId="22" fillId="0" borderId="12" xfId="0" applyFont="1" applyBorder="1" applyAlignment="1">
      <alignment horizontal="center" vertical="center" wrapText="1"/>
    </xf>
    <xf numFmtId="0" fontId="22" fillId="12" borderId="12" xfId="0" applyFont="1" applyFill="1" applyBorder="1" applyAlignment="1">
      <alignment horizontal="center" vertical="center" wrapText="1"/>
    </xf>
    <xf numFmtId="0" fontId="25" fillId="35" borderId="9" xfId="0" applyFont="1" applyFill="1" applyBorder="1" applyAlignment="1">
      <alignment horizontal="center" vertical="center" wrapText="1"/>
    </xf>
    <xf numFmtId="0" fontId="17" fillId="12" borderId="36" xfId="4" applyFont="1" applyFill="1" applyBorder="1" applyAlignment="1">
      <alignment horizontal="center" vertical="center" wrapText="1" readingOrder="1"/>
    </xf>
    <xf numFmtId="1" fontId="22" fillId="0" borderId="12" xfId="0" applyNumberFormat="1" applyFont="1" applyBorder="1" applyAlignment="1">
      <alignment horizontal="right" vertical="center" wrapText="1" readingOrder="1"/>
    </xf>
    <xf numFmtId="1" fontId="22" fillId="0" borderId="15" xfId="0" applyNumberFormat="1" applyFont="1" applyBorder="1" applyAlignment="1">
      <alignment horizontal="right" vertical="center" wrapText="1" readingOrder="1"/>
    </xf>
    <xf numFmtId="0" fontId="17" fillId="12" borderId="102" xfId="4" applyFont="1" applyFill="1" applyBorder="1" applyAlignment="1">
      <alignment horizontal="center" vertical="center" wrapText="1" readingOrder="1"/>
    </xf>
    <xf numFmtId="166" fontId="22" fillId="0" borderId="12" xfId="0" applyNumberFormat="1" applyFont="1" applyBorder="1" applyAlignment="1">
      <alignment horizontal="right" vertical="center" wrapText="1" readingOrder="1"/>
    </xf>
    <xf numFmtId="0" fontId="17" fillId="12" borderId="39" xfId="4" applyFont="1" applyFill="1" applyBorder="1" applyAlignment="1">
      <alignment vertical="center" wrapText="1" readingOrder="1"/>
    </xf>
    <xf numFmtId="1" fontId="22" fillId="0" borderId="0" xfId="0" applyNumberFormat="1" applyFont="1" applyAlignment="1">
      <alignment horizontal="right" vertical="center" wrapText="1" readingOrder="1"/>
    </xf>
    <xf numFmtId="0" fontId="22" fillId="0" borderId="0" xfId="0" applyFont="1" applyAlignment="1">
      <alignment horizontal="right" vertical="center" wrapText="1" readingOrder="1"/>
    </xf>
    <xf numFmtId="0" fontId="17" fillId="12" borderId="103" xfId="4" applyFont="1" applyFill="1" applyBorder="1" applyAlignment="1">
      <alignment vertical="center" wrapText="1" readingOrder="1"/>
    </xf>
    <xf numFmtId="0" fontId="22" fillId="0" borderId="0" xfId="0" applyFont="1" applyAlignment="1">
      <alignment horizontal="center" vertical="center" wrapText="1" readingOrder="1"/>
    </xf>
    <xf numFmtId="3" fontId="11" fillId="0" borderId="70" xfId="0" applyNumberFormat="1" applyFont="1" applyBorder="1" applyAlignment="1">
      <alignment horizontal="right" vertical="center"/>
    </xf>
    <xf numFmtId="0" fontId="25" fillId="0" borderId="3" xfId="0" applyFont="1" applyBorder="1" applyAlignment="1">
      <alignment horizontal="left" vertical="center" wrapText="1" indent="1" readingOrder="1"/>
    </xf>
    <xf numFmtId="1" fontId="11" fillId="0" borderId="70" xfId="0" applyNumberFormat="1" applyFont="1" applyBorder="1" applyAlignment="1">
      <alignment horizontal="right" vertical="center"/>
    </xf>
    <xf numFmtId="0" fontId="22" fillId="2" borderId="0" xfId="0" applyFont="1" applyFill="1" applyAlignment="1">
      <alignment horizontal="center" vertical="center" wrapText="1" readingOrder="1"/>
    </xf>
    <xf numFmtId="1" fontId="22" fillId="2" borderId="0" xfId="0" applyNumberFormat="1" applyFont="1" applyFill="1" applyAlignment="1">
      <alignment horizontal="right" vertical="center" wrapText="1" readingOrder="1"/>
    </xf>
    <xf numFmtId="1" fontId="22" fillId="2" borderId="70" xfId="0" applyNumberFormat="1" applyFont="1" applyFill="1" applyBorder="1" applyAlignment="1">
      <alignment horizontal="right" vertical="center" wrapText="1" readingOrder="1"/>
    </xf>
    <xf numFmtId="0" fontId="22" fillId="2" borderId="0" xfId="0" applyFont="1" applyFill="1" applyAlignment="1">
      <alignment horizontal="right" vertical="center" wrapText="1" readingOrder="1"/>
    </xf>
    <xf numFmtId="166" fontId="22" fillId="0" borderId="0" xfId="0" applyNumberFormat="1" applyFont="1" applyAlignment="1">
      <alignment horizontal="right" vertical="center" wrapText="1" readingOrder="1"/>
    </xf>
    <xf numFmtId="166" fontId="22" fillId="0" borderId="70" xfId="0" applyNumberFormat="1" applyFont="1" applyBorder="1" applyAlignment="1">
      <alignment horizontal="right" vertical="center" wrapText="1" readingOrder="1"/>
    </xf>
    <xf numFmtId="166" fontId="22" fillId="2" borderId="0" xfId="0" applyNumberFormat="1" applyFont="1" applyFill="1" applyAlignment="1">
      <alignment horizontal="right" vertical="center" wrapText="1" readingOrder="1"/>
    </xf>
    <xf numFmtId="166" fontId="22" fillId="2" borderId="70" xfId="0" applyNumberFormat="1" applyFont="1" applyFill="1" applyBorder="1" applyAlignment="1">
      <alignment horizontal="right" vertical="center" wrapText="1" readingOrder="1"/>
    </xf>
    <xf numFmtId="0" fontId="17" fillId="12" borderId="104" xfId="4" applyFont="1" applyFill="1" applyBorder="1" applyAlignment="1">
      <alignment vertical="center" wrapText="1" readingOrder="1"/>
    </xf>
    <xf numFmtId="1" fontId="22" fillId="0" borderId="70" xfId="0" applyNumberFormat="1" applyFont="1" applyBorder="1" applyAlignment="1">
      <alignment horizontal="right" vertical="center" wrapText="1" readingOrder="1"/>
    </xf>
    <xf numFmtId="1" fontId="11" fillId="0" borderId="12" xfId="0" applyNumberFormat="1" applyFont="1" applyBorder="1" applyAlignment="1">
      <alignment horizontal="right" vertical="center"/>
    </xf>
    <xf numFmtId="0" fontId="22" fillId="0" borderId="17" xfId="0" applyFont="1" applyBorder="1" applyAlignment="1">
      <alignment horizontal="left" vertical="center" wrapText="1" readingOrder="1"/>
    </xf>
    <xf numFmtId="0" fontId="11" fillId="3" borderId="0" xfId="3" applyFont="1" applyFill="1" applyBorder="1" applyAlignment="1">
      <alignment horizontal="center" vertical="center" wrapText="1" readingOrder="1"/>
    </xf>
    <xf numFmtId="0" fontId="11" fillId="12" borderId="0" xfId="0" applyFont="1" applyFill="1" applyAlignment="1">
      <alignment horizontal="center" vertical="center"/>
    </xf>
    <xf numFmtId="0" fontId="29" fillId="3" borderId="0" xfId="0" applyFont="1" applyFill="1" applyAlignment="1">
      <alignment horizontal="center" vertical="center" wrapText="1" readingOrder="1"/>
    </xf>
    <xf numFmtId="0" fontId="11" fillId="3" borderId="0" xfId="0" applyFont="1" applyFill="1" applyAlignment="1">
      <alignment horizontal="center" vertical="center"/>
    </xf>
    <xf numFmtId="0" fontId="11" fillId="3" borderId="42" xfId="0" applyFont="1" applyFill="1" applyBorder="1" applyAlignment="1">
      <alignment horizontal="center" vertical="center"/>
    </xf>
    <xf numFmtId="0" fontId="29" fillId="12" borderId="0" xfId="0" applyFont="1" applyFill="1" applyAlignment="1">
      <alignment horizontal="center" vertical="center" wrapText="1" readingOrder="1"/>
    </xf>
    <xf numFmtId="0" fontId="27" fillId="12" borderId="9" xfId="0" applyFont="1" applyFill="1" applyBorder="1" applyAlignment="1">
      <alignment horizontal="center" vertical="center" wrapText="1" readingOrder="1"/>
    </xf>
    <xf numFmtId="0" fontId="11" fillId="3" borderId="49" xfId="3" applyFont="1" applyFill="1" applyBorder="1" applyAlignment="1">
      <alignment horizontal="right" vertical="center" wrapText="1" readingOrder="1"/>
    </xf>
    <xf numFmtId="1" fontId="11" fillId="12" borderId="43" xfId="0" applyNumberFormat="1" applyFont="1" applyFill="1" applyBorder="1" applyAlignment="1">
      <alignment horizontal="right" vertical="center"/>
    </xf>
    <xf numFmtId="166" fontId="29" fillId="3" borderId="43" xfId="0" applyNumberFormat="1" applyFont="1" applyFill="1" applyBorder="1" applyAlignment="1">
      <alignment horizontal="right" vertical="center" wrapText="1" readingOrder="1"/>
    </xf>
    <xf numFmtId="0" fontId="17" fillId="12" borderId="10" xfId="0" applyFont="1" applyFill="1" applyBorder="1" applyAlignment="1">
      <alignment horizontal="center" vertical="center"/>
    </xf>
    <xf numFmtId="0" fontId="11" fillId="12" borderId="0" xfId="0" applyFont="1" applyFill="1" applyAlignment="1">
      <alignment horizontal="right" vertical="center"/>
    </xf>
    <xf numFmtId="0" fontId="29" fillId="3" borderId="0" xfId="0" applyFont="1" applyFill="1" applyAlignment="1">
      <alignment horizontal="right" vertical="center" wrapText="1" readingOrder="1"/>
    </xf>
    <xf numFmtId="0" fontId="11" fillId="12" borderId="3" xfId="0" applyFont="1" applyFill="1" applyBorder="1" applyAlignment="1">
      <alignment vertical="center" wrapText="1"/>
    </xf>
    <xf numFmtId="0" fontId="11" fillId="3" borderId="12" xfId="0" applyFont="1" applyFill="1" applyBorder="1" applyAlignment="1">
      <alignment horizontal="right" vertical="center"/>
    </xf>
    <xf numFmtId="0" fontId="29" fillId="12" borderId="0" xfId="0" applyFont="1" applyFill="1" applyAlignment="1">
      <alignment horizontal="right" vertical="center" wrapText="1" readingOrder="1"/>
    </xf>
    <xf numFmtId="0" fontId="17" fillId="12" borderId="7" xfId="4" applyFont="1" applyFill="1" applyBorder="1" applyAlignment="1">
      <alignment horizontal="right" vertical="center" wrapText="1"/>
    </xf>
    <xf numFmtId="0" fontId="17" fillId="12" borderId="10" xfId="4" applyFont="1" applyFill="1" applyBorder="1" applyAlignment="1">
      <alignment horizontal="center" vertical="center" wrapText="1"/>
    </xf>
    <xf numFmtId="0" fontId="17" fillId="12" borderId="61" xfId="4" applyFont="1" applyFill="1" applyBorder="1" applyAlignment="1">
      <alignment horizontal="center" vertical="center" wrapText="1"/>
    </xf>
    <xf numFmtId="0" fontId="17" fillId="12" borderId="85" xfId="4" applyFont="1" applyFill="1" applyBorder="1" applyAlignment="1">
      <alignment horizontal="right" vertical="center" wrapText="1"/>
    </xf>
    <xf numFmtId="3" fontId="22" fillId="12" borderId="70" xfId="0" applyNumberFormat="1" applyFont="1" applyFill="1" applyBorder="1" applyAlignment="1">
      <alignment horizontal="right" vertical="center" wrapText="1"/>
    </xf>
    <xf numFmtId="3" fontId="11" fillId="4" borderId="70" xfId="0" applyNumberFormat="1" applyFont="1" applyFill="1" applyBorder="1" applyAlignment="1">
      <alignment horizontal="right" vertical="center" wrapText="1"/>
    </xf>
    <xf numFmtId="3" fontId="11" fillId="12" borderId="70" xfId="0" applyNumberFormat="1" applyFont="1" applyFill="1" applyBorder="1" applyAlignment="1">
      <alignment horizontal="right" vertical="center"/>
    </xf>
    <xf numFmtId="1" fontId="11" fillId="0" borderId="70" xfId="0" applyNumberFormat="1" applyFont="1" applyBorder="1" applyAlignment="1">
      <alignment vertical="center"/>
    </xf>
    <xf numFmtId="3" fontId="22" fillId="0" borderId="84" xfId="0" applyNumberFormat="1" applyFont="1" applyBorder="1" applyAlignment="1">
      <alignment horizontal="right" vertical="center"/>
    </xf>
    <xf numFmtId="0" fontId="17" fillId="12" borderId="84" xfId="4" applyFont="1" applyFill="1" applyBorder="1" applyAlignment="1">
      <alignment horizontal="right" vertical="center" wrapText="1"/>
    </xf>
    <xf numFmtId="3" fontId="22" fillId="0" borderId="12" xfId="0" applyNumberFormat="1" applyFont="1" applyBorder="1" applyAlignment="1">
      <alignment horizontal="right" vertical="center" wrapText="1"/>
    </xf>
    <xf numFmtId="3" fontId="22" fillId="12" borderId="12" xfId="0" applyNumberFormat="1" applyFont="1" applyFill="1" applyBorder="1" applyAlignment="1">
      <alignment horizontal="right" vertical="center" wrapText="1"/>
    </xf>
    <xf numFmtId="0" fontId="17" fillId="12" borderId="105" xfId="4" applyFont="1" applyFill="1" applyBorder="1" applyAlignment="1">
      <alignment horizontal="right" vertical="center" wrapText="1"/>
    </xf>
    <xf numFmtId="0" fontId="29" fillId="0" borderId="0" xfId="0" applyFont="1" applyAlignment="1">
      <alignment horizontal="center" wrapText="1" readingOrder="1"/>
    </xf>
    <xf numFmtId="0" fontId="29" fillId="0" borderId="70" xfId="0" applyFont="1" applyBorder="1" applyAlignment="1">
      <alignment horizontal="center" wrapText="1" readingOrder="1"/>
    </xf>
    <xf numFmtId="0" fontId="29" fillId="0" borderId="57" xfId="0" applyFont="1" applyBorder="1" applyAlignment="1">
      <alignment horizontal="center" wrapText="1" readingOrder="1"/>
    </xf>
    <xf numFmtId="3" fontId="29" fillId="0" borderId="107" xfId="0" applyNumberFormat="1" applyFont="1" applyBorder="1" applyAlignment="1">
      <alignment wrapText="1" readingOrder="1"/>
    </xf>
    <xf numFmtId="3" fontId="29" fillId="0" borderId="30" xfId="0" applyNumberFormat="1" applyFont="1" applyBorder="1" applyAlignment="1">
      <alignment wrapText="1" readingOrder="1"/>
    </xf>
    <xf numFmtId="0" fontId="29" fillId="20" borderId="0" xfId="0" applyFont="1" applyFill="1" applyAlignment="1">
      <alignment wrapText="1" readingOrder="1"/>
    </xf>
    <xf numFmtId="0" fontId="28" fillId="29" borderId="7" xfId="0" applyFont="1" applyFill="1" applyBorder="1" applyAlignment="1">
      <alignment horizontal="center" wrapText="1" readingOrder="1"/>
    </xf>
    <xf numFmtId="0" fontId="28" fillId="29" borderId="7" xfId="0" applyFont="1" applyFill="1" applyBorder="1" applyAlignment="1">
      <alignment wrapText="1" readingOrder="1"/>
    </xf>
    <xf numFmtId="0" fontId="28" fillId="29" borderId="9" xfId="0" applyFont="1" applyFill="1" applyBorder="1" applyAlignment="1">
      <alignment wrapText="1" readingOrder="1"/>
    </xf>
    <xf numFmtId="0" fontId="29" fillId="20" borderId="12" xfId="0" applyFont="1" applyFill="1" applyBorder="1" applyAlignment="1">
      <alignment wrapText="1" readingOrder="1"/>
    </xf>
    <xf numFmtId="0" fontId="29" fillId="0" borderId="12" xfId="0" applyFont="1" applyBorder="1" applyAlignment="1">
      <alignment wrapText="1" readingOrder="1"/>
    </xf>
    <xf numFmtId="0" fontId="29" fillId="0" borderId="36" xfId="0" applyFont="1" applyBorder="1" applyAlignment="1">
      <alignment wrapText="1" readingOrder="1"/>
    </xf>
    <xf numFmtId="0" fontId="29" fillId="20" borderId="36" xfId="0" applyFont="1" applyFill="1" applyBorder="1" applyAlignment="1">
      <alignment wrapText="1" readingOrder="1"/>
    </xf>
    <xf numFmtId="0" fontId="29" fillId="0" borderId="2" xfId="0" applyFont="1" applyBorder="1" applyAlignment="1">
      <alignment horizontal="center" wrapText="1" readingOrder="1"/>
    </xf>
    <xf numFmtId="0" fontId="29" fillId="0" borderId="15" xfId="0" applyFont="1" applyBorder="1" applyAlignment="1">
      <alignment wrapText="1" readingOrder="1"/>
    </xf>
    <xf numFmtId="0" fontId="28" fillId="29" borderId="7" xfId="0" applyFont="1" applyFill="1" applyBorder="1" applyAlignment="1">
      <alignment horizontal="right" wrapText="1" readingOrder="1"/>
    </xf>
    <xf numFmtId="3" fontId="29" fillId="20" borderId="12" xfId="0" applyNumberFormat="1" applyFont="1" applyFill="1" applyBorder="1" applyAlignment="1">
      <alignment wrapText="1" readingOrder="1"/>
    </xf>
    <xf numFmtId="3" fontId="29" fillId="0" borderId="12" xfId="0" applyNumberFormat="1" applyFont="1" applyBorder="1" applyAlignment="1">
      <alignment wrapText="1" readingOrder="1"/>
    </xf>
    <xf numFmtId="9" fontId="29" fillId="20" borderId="12" xfId="0" applyNumberFormat="1" applyFont="1" applyFill="1" applyBorder="1" applyAlignment="1">
      <alignment wrapText="1" readingOrder="1"/>
    </xf>
    <xf numFmtId="0" fontId="29" fillId="31" borderId="12" xfId="0" applyFont="1" applyFill="1" applyBorder="1" applyAlignment="1">
      <alignment wrapText="1" readingOrder="1"/>
    </xf>
    <xf numFmtId="0" fontId="29" fillId="0" borderId="13" xfId="0" applyFont="1" applyBorder="1" applyAlignment="1">
      <alignment horizontal="center" wrapText="1" readingOrder="1"/>
    </xf>
    <xf numFmtId="0" fontId="29" fillId="20" borderId="37" xfId="0" applyFont="1" applyFill="1" applyBorder="1" applyAlignment="1">
      <alignment horizontal="center" wrapText="1" readingOrder="1"/>
    </xf>
    <xf numFmtId="0" fontId="29" fillId="20" borderId="12" xfId="0" applyFont="1" applyFill="1" applyBorder="1" applyAlignment="1">
      <alignment horizontal="right" wrapText="1" readingOrder="1"/>
    </xf>
    <xf numFmtId="4" fontId="29" fillId="0" borderId="12" xfId="0" applyNumberFormat="1" applyFont="1" applyBorder="1" applyAlignment="1">
      <alignment horizontal="right" wrapText="1" readingOrder="1"/>
    </xf>
    <xf numFmtId="4" fontId="29" fillId="20" borderId="12" xfId="0" applyNumberFormat="1" applyFont="1" applyFill="1" applyBorder="1" applyAlignment="1">
      <alignment horizontal="right" wrapText="1" readingOrder="1"/>
    </xf>
    <xf numFmtId="0" fontId="29" fillId="0" borderId="12" xfId="0" applyFont="1" applyBorder="1" applyAlignment="1">
      <alignment horizontal="right" wrapText="1" readingOrder="1"/>
    </xf>
    <xf numFmtId="0" fontId="29" fillId="0" borderId="36" xfId="0" applyFont="1" applyBorder="1" applyAlignment="1">
      <alignment horizontal="right" wrapText="1" readingOrder="1"/>
    </xf>
    <xf numFmtId="0" fontId="29" fillId="0" borderId="12" xfId="0" quotePrefix="1" applyFont="1" applyBorder="1" applyAlignment="1">
      <alignment horizontal="right" wrapText="1" readingOrder="1"/>
    </xf>
    <xf numFmtId="0" fontId="29" fillId="20" borderId="12" xfId="0" quotePrefix="1" applyFont="1" applyFill="1" applyBorder="1" applyAlignment="1">
      <alignment horizontal="right" wrapText="1" readingOrder="1"/>
    </xf>
    <xf numFmtId="3" fontId="29" fillId="20" borderId="12" xfId="0" applyNumberFormat="1" applyFont="1" applyFill="1" applyBorder="1" applyAlignment="1">
      <alignment horizontal="right" wrapText="1" readingOrder="1"/>
    </xf>
    <xf numFmtId="0" fontId="29" fillId="20" borderId="36" xfId="0" applyFont="1" applyFill="1" applyBorder="1" applyAlignment="1">
      <alignment horizontal="right" wrapText="1" readingOrder="1"/>
    </xf>
    <xf numFmtId="0" fontId="0" fillId="39" borderId="0" xfId="0" applyFill="1"/>
    <xf numFmtId="0" fontId="63" fillId="39" borderId="31" xfId="0" applyFont="1" applyFill="1" applyBorder="1" applyAlignment="1">
      <alignment wrapText="1"/>
    </xf>
    <xf numFmtId="0" fontId="6" fillId="39" borderId="0" xfId="0" applyFont="1" applyFill="1"/>
    <xf numFmtId="0" fontId="63" fillId="39" borderId="0" xfId="0" applyFont="1" applyFill="1" applyAlignment="1">
      <alignment wrapText="1"/>
    </xf>
    <xf numFmtId="0" fontId="52" fillId="20" borderId="70" xfId="0" applyFont="1" applyFill="1" applyBorder="1" applyAlignment="1">
      <alignment wrapText="1" readingOrder="1"/>
    </xf>
    <xf numFmtId="3" fontId="29" fillId="0" borderId="0" xfId="0" applyNumberFormat="1" applyFont="1" applyAlignment="1">
      <alignment wrapText="1" readingOrder="1"/>
    </xf>
    <xf numFmtId="3" fontId="29" fillId="0" borderId="70" xfId="0" applyNumberFormat="1" applyFont="1" applyBorder="1" applyAlignment="1">
      <alignment wrapText="1" readingOrder="1"/>
    </xf>
    <xf numFmtId="3" fontId="29" fillId="20" borderId="0" xfId="0" applyNumberFormat="1" applyFont="1" applyFill="1" applyAlignment="1">
      <alignment wrapText="1" readingOrder="1"/>
    </xf>
    <xf numFmtId="3" fontId="29" fillId="20" borderId="70" xfId="0" applyNumberFormat="1" applyFont="1" applyFill="1" applyBorder="1" applyAlignment="1">
      <alignment wrapText="1" readingOrder="1"/>
    </xf>
    <xf numFmtId="0" fontId="29" fillId="0" borderId="70" xfId="0" applyFont="1" applyBorder="1" applyAlignment="1">
      <alignment wrapText="1" readingOrder="1"/>
    </xf>
    <xf numFmtId="0" fontId="29" fillId="0" borderId="84" xfId="0" applyFont="1" applyBorder="1" applyAlignment="1">
      <alignment wrapText="1" readingOrder="1"/>
    </xf>
    <xf numFmtId="0" fontId="29" fillId="20" borderId="70" xfId="0" applyFont="1" applyFill="1" applyBorder="1" applyAlignment="1">
      <alignment wrapText="1" readingOrder="1"/>
    </xf>
    <xf numFmtId="0" fontId="52" fillId="0" borderId="70" xfId="0" applyFont="1" applyBorder="1" applyAlignment="1">
      <alignment wrapText="1" readingOrder="1"/>
    </xf>
    <xf numFmtId="0" fontId="52" fillId="20" borderId="12" xfId="0" applyFont="1" applyFill="1" applyBorder="1" applyAlignment="1">
      <alignment wrapText="1" readingOrder="1"/>
    </xf>
    <xf numFmtId="0" fontId="29" fillId="0" borderId="84" xfId="0" applyFont="1" applyBorder="1"/>
    <xf numFmtId="0" fontId="29" fillId="20" borderId="84" xfId="0" applyFont="1" applyFill="1" applyBorder="1" applyAlignment="1">
      <alignment wrapText="1" readingOrder="1"/>
    </xf>
    <xf numFmtId="3" fontId="29" fillId="0" borderId="106" xfId="0" applyNumberFormat="1" applyFont="1" applyBorder="1" applyAlignment="1">
      <alignment wrapText="1" readingOrder="1"/>
    </xf>
    <xf numFmtId="0" fontId="6" fillId="0" borderId="0" xfId="0" applyFont="1" applyAlignment="1">
      <alignment wrapText="1"/>
    </xf>
    <xf numFmtId="0" fontId="27" fillId="12" borderId="108" xfId="0" applyFont="1" applyFill="1" applyBorder="1" applyAlignment="1">
      <alignment horizontal="center" vertical="center" wrapText="1"/>
    </xf>
    <xf numFmtId="0" fontId="25" fillId="35" borderId="76" xfId="0" applyFont="1" applyFill="1" applyBorder="1" applyAlignment="1">
      <alignment horizontal="center" vertical="center" wrapText="1"/>
    </xf>
    <xf numFmtId="0" fontId="22" fillId="0" borderId="70" xfId="0" applyFont="1" applyBorder="1" applyAlignment="1">
      <alignment horizontal="center" vertical="center" wrapText="1"/>
    </xf>
    <xf numFmtId="3" fontId="22" fillId="12" borderId="70" xfId="0" applyNumberFormat="1" applyFont="1" applyFill="1" applyBorder="1" applyAlignment="1">
      <alignment horizontal="center" vertical="center" wrapText="1"/>
    </xf>
    <xf numFmtId="166" fontId="22" fillId="0" borderId="70" xfId="0" applyNumberFormat="1" applyFont="1" applyBorder="1" applyAlignment="1">
      <alignment horizontal="center" vertical="center" wrapText="1"/>
    </xf>
    <xf numFmtId="4" fontId="22" fillId="12" borderId="70" xfId="0" applyNumberFormat="1" applyFont="1" applyFill="1" applyBorder="1" applyAlignment="1">
      <alignment horizontal="center" vertical="center" wrapText="1"/>
    </xf>
    <xf numFmtId="3" fontId="22" fillId="12" borderId="70" xfId="1" applyNumberFormat="1" applyFont="1" applyFill="1" applyBorder="1" applyAlignment="1">
      <alignment horizontal="center" vertical="center" wrapText="1"/>
    </xf>
    <xf numFmtId="3" fontId="22" fillId="0" borderId="70" xfId="1" applyNumberFormat="1" applyFont="1" applyBorder="1" applyAlignment="1">
      <alignment horizontal="center" vertical="center" wrapText="1"/>
    </xf>
    <xf numFmtId="165" fontId="22" fillId="0" borderId="70" xfId="1" applyNumberFormat="1" applyFont="1" applyBorder="1" applyAlignment="1">
      <alignment horizontal="center" vertical="center" wrapText="1"/>
    </xf>
    <xf numFmtId="3" fontId="22" fillId="0" borderId="70" xfId="0" applyNumberFormat="1" applyFont="1" applyBorder="1" applyAlignment="1">
      <alignment horizontal="center" vertical="center" wrapText="1"/>
    </xf>
    <xf numFmtId="3" fontId="25" fillId="35" borderId="76" xfId="0" applyNumberFormat="1" applyFont="1" applyFill="1" applyBorder="1" applyAlignment="1">
      <alignment horizontal="center" vertical="center" wrapText="1"/>
    </xf>
    <xf numFmtId="0" fontId="17" fillId="32" borderId="76" xfId="8" applyFont="1" applyBorder="1" applyAlignment="1">
      <alignment horizontal="center" vertical="center" wrapText="1"/>
    </xf>
    <xf numFmtId="0" fontId="22" fillId="12" borderId="70" xfId="0" applyFont="1" applyFill="1" applyBorder="1" applyAlignment="1">
      <alignment horizontal="center" vertical="center" wrapText="1"/>
    </xf>
    <xf numFmtId="0" fontId="22" fillId="12" borderId="71" xfId="0" applyFont="1" applyFill="1" applyBorder="1" applyAlignment="1">
      <alignment horizontal="center" vertical="center" wrapText="1"/>
    </xf>
    <xf numFmtId="3" fontId="22" fillId="3" borderId="70" xfId="0" applyNumberFormat="1" applyFont="1" applyFill="1" applyBorder="1" applyAlignment="1">
      <alignment horizontal="center" vertical="center" wrapText="1"/>
    </xf>
    <xf numFmtId="0" fontId="27" fillId="12" borderId="6" xfId="0" applyFont="1" applyFill="1" applyBorder="1" applyAlignment="1">
      <alignment horizontal="left" vertical="center" wrapText="1"/>
    </xf>
    <xf numFmtId="0" fontId="17" fillId="32" borderId="7" xfId="8" applyFont="1" applyBorder="1" applyAlignment="1">
      <alignment vertical="center" wrapText="1"/>
    </xf>
    <xf numFmtId="0" fontId="27" fillId="0" borderId="0" xfId="0" applyFont="1" applyAlignment="1">
      <alignment vertical="center" wrapText="1"/>
    </xf>
    <xf numFmtId="0" fontId="22" fillId="12" borderId="0" xfId="0" applyFont="1" applyFill="1" applyAlignment="1">
      <alignment vertical="center" wrapText="1"/>
    </xf>
    <xf numFmtId="0" fontId="22" fillId="0" borderId="0" xfId="0" applyFont="1" applyAlignment="1">
      <alignment vertical="center" wrapText="1"/>
    </xf>
    <xf numFmtId="0" fontId="22" fillId="12" borderId="2" xfId="0" applyFont="1" applyFill="1" applyBorder="1" applyAlignment="1">
      <alignment vertical="center" wrapText="1"/>
    </xf>
    <xf numFmtId="0" fontId="22" fillId="3" borderId="0" xfId="0" applyFont="1" applyFill="1" applyAlignment="1">
      <alignment vertical="center" wrapText="1"/>
    </xf>
    <xf numFmtId="0" fontId="26" fillId="35" borderId="7" xfId="0" applyFont="1" applyFill="1" applyBorder="1" applyAlignment="1">
      <alignment vertical="center" wrapText="1"/>
    </xf>
    <xf numFmtId="0" fontId="17" fillId="12" borderId="2" xfId="4" applyFont="1" applyFill="1" applyBorder="1" applyAlignment="1">
      <alignment vertical="center" wrapText="1"/>
    </xf>
    <xf numFmtId="0" fontId="22" fillId="4" borderId="0" xfId="0" quotePrefix="1" applyFont="1" applyFill="1" applyAlignment="1">
      <alignment horizontal="left" vertical="center" wrapText="1"/>
    </xf>
    <xf numFmtId="0" fontId="11" fillId="12" borderId="0" xfId="0" quotePrefix="1" applyFont="1" applyFill="1" applyAlignment="1">
      <alignment vertical="center"/>
    </xf>
    <xf numFmtId="0" fontId="17" fillId="12" borderId="7" xfId="4" applyFont="1" applyFill="1" applyBorder="1" applyAlignment="1">
      <alignment vertical="center" wrapText="1"/>
    </xf>
    <xf numFmtId="0" fontId="22" fillId="4" borderId="0" xfId="0" applyFont="1" applyFill="1" applyAlignment="1">
      <alignment vertical="center" wrapText="1"/>
    </xf>
    <xf numFmtId="0" fontId="17" fillId="12" borderId="47" xfId="4" applyFont="1" applyFill="1" applyBorder="1" applyAlignment="1">
      <alignment vertical="center" wrapText="1"/>
    </xf>
    <xf numFmtId="0" fontId="22" fillId="12" borderId="0" xfId="0" quotePrefix="1" applyFont="1" applyFill="1" applyAlignment="1">
      <alignment horizontal="left" vertical="center" wrapText="1"/>
    </xf>
    <xf numFmtId="0" fontId="17" fillId="12" borderId="85" xfId="4" applyFont="1" applyFill="1" applyBorder="1" applyAlignment="1">
      <alignment vertical="center" wrapText="1"/>
    </xf>
    <xf numFmtId="0" fontId="11" fillId="0" borderId="2" xfId="0" applyFont="1" applyBorder="1" applyAlignment="1">
      <alignment vertical="center"/>
    </xf>
    <xf numFmtId="0" fontId="28" fillId="8" borderId="7" xfId="4" applyFont="1" applyFill="1" applyBorder="1" applyAlignment="1">
      <alignment horizontal="left" vertical="center"/>
    </xf>
    <xf numFmtId="0" fontId="22" fillId="0" borderId="10" xfId="0" applyFont="1" applyBorder="1" applyAlignment="1">
      <alignment horizontal="right" vertical="center"/>
    </xf>
    <xf numFmtId="0" fontId="27" fillId="0" borderId="10" xfId="0" applyFont="1" applyBorder="1" applyAlignment="1">
      <alignment horizontal="right" vertical="center"/>
    </xf>
    <xf numFmtId="168" fontId="29" fillId="0" borderId="10" xfId="1" applyNumberFormat="1" applyFont="1" applyFill="1" applyBorder="1" applyAlignment="1">
      <alignment horizontal="right" vertical="center"/>
    </xf>
    <xf numFmtId="43" fontId="25" fillId="0" borderId="0" xfId="0" applyNumberFormat="1" applyFont="1" applyAlignment="1">
      <alignment horizontal="left" vertical="center" wrapText="1"/>
    </xf>
    <xf numFmtId="0" fontId="0" fillId="0" borderId="0" xfId="0" applyAlignment="1">
      <alignment vertical="center"/>
    </xf>
    <xf numFmtId="3" fontId="11" fillId="0" borderId="0" xfId="0" applyNumberFormat="1" applyFont="1" applyAlignment="1">
      <alignment horizontal="right" vertical="center"/>
    </xf>
    <xf numFmtId="0" fontId="17" fillId="0" borderId="9" xfId="0" applyFont="1" applyBorder="1" applyAlignment="1">
      <alignment horizontal="right" vertical="center" wrapText="1"/>
    </xf>
    <xf numFmtId="0" fontId="17" fillId="0" borderId="0" xfId="0" applyFont="1" applyAlignment="1">
      <alignment horizontal="center" vertical="center" wrapText="1"/>
    </xf>
    <xf numFmtId="49" fontId="25" fillId="0" borderId="13" xfId="0" applyNumberFormat="1" applyFont="1" applyBorder="1" applyAlignment="1">
      <alignment horizontal="left" vertical="center" wrapText="1"/>
    </xf>
    <xf numFmtId="0" fontId="11" fillId="9" borderId="13" xfId="3" quotePrefix="1" applyFont="1" applyBorder="1" applyAlignment="1">
      <alignment horizontal="left" vertical="center"/>
    </xf>
    <xf numFmtId="0" fontId="11" fillId="0" borderId="13" xfId="0" quotePrefix="1" applyFont="1" applyBorder="1" applyAlignment="1">
      <alignment vertical="center"/>
    </xf>
    <xf numFmtId="43" fontId="25" fillId="0" borderId="13" xfId="1" applyFont="1" applyBorder="1" applyAlignment="1">
      <alignment horizontal="left" vertical="center" wrapText="1"/>
    </xf>
    <xf numFmtId="43" fontId="11" fillId="9" borderId="13" xfId="1" quotePrefix="1" applyFont="1" applyFill="1" applyBorder="1" applyAlignment="1">
      <alignment horizontal="left" vertical="center"/>
    </xf>
    <xf numFmtId="43" fontId="11" fillId="0" borderId="13" xfId="1" quotePrefix="1" applyFont="1" applyBorder="1" applyAlignment="1">
      <alignment vertical="center"/>
    </xf>
    <xf numFmtId="0" fontId="11" fillId="0" borderId="3" xfId="0" quotePrefix="1" applyFont="1" applyBorder="1" applyAlignment="1">
      <alignment vertical="center"/>
    </xf>
    <xf numFmtId="9" fontId="27" fillId="0" borderId="13" xfId="5" applyFont="1" applyBorder="1" applyAlignment="1">
      <alignment horizontal="right" vertical="center"/>
    </xf>
    <xf numFmtId="9" fontId="27" fillId="20" borderId="13" xfId="5" applyFont="1" applyFill="1" applyBorder="1" applyAlignment="1">
      <alignment horizontal="right" vertical="center"/>
    </xf>
    <xf numFmtId="9" fontId="22" fillId="0" borderId="13" xfId="5" applyFont="1" applyBorder="1" applyAlignment="1">
      <alignment vertical="center"/>
    </xf>
    <xf numFmtId="9" fontId="22" fillId="0" borderId="16" xfId="5" applyFont="1" applyBorder="1" applyAlignment="1">
      <alignment vertical="center"/>
    </xf>
    <xf numFmtId="43" fontId="27" fillId="20" borderId="8" xfId="1" applyFont="1" applyFill="1" applyBorder="1" applyAlignment="1">
      <alignment horizontal="right" vertical="center"/>
    </xf>
    <xf numFmtId="43" fontId="27" fillId="21" borderId="27" xfId="1" applyFont="1" applyFill="1" applyBorder="1" applyAlignment="1">
      <alignment horizontal="right" vertical="center"/>
    </xf>
    <xf numFmtId="43" fontId="27" fillId="21" borderId="13" xfId="1" applyFont="1" applyFill="1" applyBorder="1" applyAlignment="1">
      <alignment horizontal="right" vertical="center"/>
    </xf>
    <xf numFmtId="43" fontId="27" fillId="20" borderId="13" xfId="1" applyFont="1" applyFill="1" applyBorder="1" applyAlignment="1">
      <alignment horizontal="right" vertical="center"/>
    </xf>
    <xf numFmtId="43" fontId="22" fillId="0" borderId="13" xfId="1" applyFont="1" applyBorder="1" applyAlignment="1">
      <alignment vertical="center"/>
    </xf>
    <xf numFmtId="43" fontId="22" fillId="0" borderId="16" xfId="1" applyFont="1" applyBorder="1" applyAlignment="1">
      <alignment vertical="center"/>
    </xf>
    <xf numFmtId="0" fontId="17" fillId="4" borderId="11" xfId="0" applyFont="1" applyFill="1" applyBorder="1" applyAlignment="1">
      <alignment horizontal="right" vertical="center" wrapText="1"/>
    </xf>
    <xf numFmtId="0" fontId="17" fillId="0" borderId="27" xfId="0" applyFont="1" applyBorder="1" applyAlignment="1">
      <alignment horizontal="right" vertical="center" wrapText="1"/>
    </xf>
    <xf numFmtId="1" fontId="17" fillId="4" borderId="14" xfId="0" applyNumberFormat="1" applyFont="1" applyFill="1" applyBorder="1" applyAlignment="1">
      <alignment horizontal="right" vertical="center" wrapText="1"/>
    </xf>
    <xf numFmtId="0" fontId="17" fillId="4" borderId="14" xfId="0" applyFont="1" applyFill="1" applyBorder="1" applyAlignment="1">
      <alignment horizontal="right" vertical="center" wrapText="1"/>
    </xf>
    <xf numFmtId="0" fontId="17" fillId="4" borderId="54" xfId="0" applyFont="1" applyFill="1" applyBorder="1" applyAlignment="1">
      <alignment horizontal="right" vertical="center" wrapText="1"/>
    </xf>
    <xf numFmtId="0" fontId="8" fillId="9" borderId="10" xfId="3" applyFont="1" applyBorder="1" applyAlignment="1">
      <alignment vertical="center" wrapText="1"/>
    </xf>
    <xf numFmtId="9" fontId="17" fillId="12" borderId="63" xfId="3" applyNumberFormat="1" applyFont="1" applyFill="1" applyBorder="1" applyAlignment="1">
      <alignment horizontal="right" vertical="center"/>
    </xf>
    <xf numFmtId="9" fontId="17" fillId="12" borderId="56" xfId="3" applyNumberFormat="1" applyFont="1" applyFill="1" applyBorder="1" applyAlignment="1">
      <alignment horizontal="right" vertical="center"/>
    </xf>
    <xf numFmtId="43" fontId="27" fillId="20" borderId="63" xfId="1" applyFont="1" applyFill="1" applyBorder="1" applyAlignment="1">
      <alignment horizontal="right" vertical="center"/>
    </xf>
    <xf numFmtId="9" fontId="27" fillId="20" borderId="63" xfId="0" applyNumberFormat="1" applyFont="1" applyFill="1" applyBorder="1" applyAlignment="1">
      <alignment horizontal="right" vertical="center"/>
    </xf>
    <xf numFmtId="9" fontId="27" fillId="20" borderId="72" xfId="0" applyNumberFormat="1" applyFont="1" applyFill="1" applyBorder="1" applyAlignment="1">
      <alignment horizontal="right" vertical="center"/>
    </xf>
    <xf numFmtId="0" fontId="17" fillId="4" borderId="3" xfId="0" applyFont="1" applyFill="1" applyBorder="1" applyAlignment="1">
      <alignment horizontal="left" vertical="center"/>
    </xf>
    <xf numFmtId="0" fontId="17" fillId="12" borderId="3" xfId="0" applyFont="1" applyFill="1" applyBorder="1" applyAlignment="1">
      <alignment horizontal="left" vertical="center" wrapText="1"/>
    </xf>
    <xf numFmtId="9" fontId="28" fillId="12" borderId="10" xfId="1" applyNumberFormat="1" applyFont="1" applyFill="1" applyBorder="1" applyAlignment="1">
      <alignment horizontal="right" vertical="center"/>
    </xf>
    <xf numFmtId="0" fontId="7" fillId="3" borderId="3" xfId="2" applyFill="1" applyBorder="1" applyAlignment="1">
      <alignment vertical="center"/>
    </xf>
    <xf numFmtId="0" fontId="7" fillId="11" borderId="3" xfId="2" applyFill="1" applyBorder="1" applyAlignment="1">
      <alignment vertical="center"/>
    </xf>
    <xf numFmtId="0" fontId="7" fillId="3" borderId="3" xfId="2" applyFill="1" applyBorder="1" applyAlignment="1">
      <alignment horizontal="left" vertical="center"/>
    </xf>
    <xf numFmtId="0" fontId="7" fillId="0" borderId="17" xfId="2" quotePrefix="1" applyBorder="1" applyAlignment="1">
      <alignment vertical="center"/>
    </xf>
    <xf numFmtId="0" fontId="65" fillId="3" borderId="3" xfId="3" applyFont="1" applyFill="1" applyBorder="1" applyAlignment="1">
      <alignment vertical="center" wrapText="1"/>
    </xf>
    <xf numFmtId="0" fontId="65" fillId="11" borderId="3" xfId="3" applyFont="1" applyFill="1" applyBorder="1" applyAlignment="1">
      <alignment vertical="center" wrapText="1"/>
    </xf>
    <xf numFmtId="0" fontId="17" fillId="37" borderId="7" xfId="4" applyFont="1" applyFill="1" applyBorder="1"/>
    <xf numFmtId="0" fontId="17" fillId="37" borderId="59" xfId="4" applyFont="1" applyFill="1" applyBorder="1" applyAlignment="1">
      <alignment horizontal="center" vertical="center" wrapText="1" readingOrder="1"/>
    </xf>
    <xf numFmtId="0" fontId="17" fillId="37" borderId="48" xfId="4" applyFont="1" applyFill="1" applyBorder="1" applyAlignment="1">
      <alignment horizontal="right" vertical="center" wrapText="1" readingOrder="1"/>
    </xf>
    <xf numFmtId="0" fontId="17" fillId="37" borderId="75" xfId="4" applyFont="1" applyFill="1" applyBorder="1" applyAlignment="1">
      <alignment horizontal="right" vertical="center" wrapText="1" readingOrder="1"/>
    </xf>
    <xf numFmtId="0" fontId="11" fillId="0" borderId="0" xfId="3" applyFont="1" applyFill="1" applyBorder="1" applyAlignment="1">
      <alignment horizontal="left" vertical="center" wrapText="1" readingOrder="1"/>
    </xf>
    <xf numFmtId="0" fontId="11" fillId="0" borderId="45" xfId="3" applyFont="1" applyFill="1" applyBorder="1" applyAlignment="1">
      <alignment horizontal="center" vertical="center" wrapText="1" readingOrder="1"/>
    </xf>
    <xf numFmtId="0" fontId="11" fillId="0" borderId="43" xfId="3" applyFont="1" applyFill="1" applyBorder="1" applyAlignment="1">
      <alignment horizontal="right" vertical="center" wrapText="1" readingOrder="1"/>
    </xf>
    <xf numFmtId="0" fontId="11" fillId="0" borderId="42" xfId="3" applyFont="1" applyFill="1" applyBorder="1" applyAlignment="1">
      <alignment horizontal="right" vertical="center" wrapText="1"/>
    </xf>
    <xf numFmtId="0" fontId="22" fillId="37" borderId="0" xfId="0" applyFont="1" applyFill="1" applyAlignment="1">
      <alignment horizontal="left" vertical="center" wrapText="1" readingOrder="1"/>
    </xf>
    <xf numFmtId="0" fontId="22" fillId="37" borderId="45" xfId="0" applyFont="1" applyFill="1" applyBorder="1" applyAlignment="1">
      <alignment horizontal="center" vertical="center" wrapText="1" readingOrder="1"/>
    </xf>
    <xf numFmtId="0" fontId="22" fillId="37" borderId="43" xfId="0" applyFont="1" applyFill="1" applyBorder="1" applyAlignment="1">
      <alignment horizontal="right" vertical="center" wrapText="1" readingOrder="1"/>
    </xf>
    <xf numFmtId="0" fontId="25" fillId="37" borderId="42" xfId="0" applyFont="1" applyFill="1" applyBorder="1" applyAlignment="1">
      <alignment horizontal="right" vertical="center" wrapText="1"/>
    </xf>
    <xf numFmtId="0" fontId="22" fillId="0" borderId="0" xfId="0" applyFont="1" applyAlignment="1">
      <alignment horizontal="left" vertical="center" wrapText="1" readingOrder="1"/>
    </xf>
    <xf numFmtId="0" fontId="22" fillId="0" borderId="45" xfId="0" applyFont="1" applyBorder="1" applyAlignment="1">
      <alignment horizontal="center" vertical="center" wrapText="1" readingOrder="1"/>
    </xf>
    <xf numFmtId="0" fontId="22" fillId="0" borderId="43" xfId="0" applyFont="1" applyBorder="1" applyAlignment="1">
      <alignment horizontal="right" vertical="center" wrapText="1" readingOrder="1"/>
    </xf>
    <xf numFmtId="0" fontId="25" fillId="0" borderId="42" xfId="0" applyFont="1" applyBorder="1" applyAlignment="1">
      <alignment horizontal="right" vertical="center" wrapText="1"/>
    </xf>
    <xf numFmtId="1" fontId="22" fillId="37" borderId="43" xfId="0" applyNumberFormat="1" applyFont="1" applyFill="1" applyBorder="1" applyAlignment="1">
      <alignment horizontal="right" vertical="center" wrapText="1" readingOrder="1"/>
    </xf>
    <xf numFmtId="1" fontId="25" fillId="37" borderId="42" xfId="0" applyNumberFormat="1" applyFont="1" applyFill="1" applyBorder="1" applyAlignment="1">
      <alignment horizontal="right" vertical="center" wrapText="1"/>
    </xf>
    <xf numFmtId="1" fontId="25" fillId="0" borderId="42" xfId="0" applyNumberFormat="1" applyFont="1" applyBorder="1" applyAlignment="1">
      <alignment horizontal="right" vertical="center" wrapText="1"/>
    </xf>
    <xf numFmtId="0" fontId="11" fillId="37" borderId="0" xfId="0" applyFont="1" applyFill="1" applyAlignment="1">
      <alignment vertical="center"/>
    </xf>
    <xf numFmtId="0" fontId="11" fillId="37" borderId="45" xfId="0" applyFont="1" applyFill="1" applyBorder="1" applyAlignment="1">
      <alignment horizontal="center" vertical="center"/>
    </xf>
    <xf numFmtId="0" fontId="11" fillId="37" borderId="43" xfId="0" applyFont="1" applyFill="1" applyBorder="1" applyAlignment="1">
      <alignment horizontal="right" vertical="center"/>
    </xf>
    <xf numFmtId="0" fontId="11" fillId="37" borderId="42" xfId="0" applyFont="1" applyFill="1" applyBorder="1" applyAlignment="1">
      <alignment horizontal="right" vertical="center"/>
    </xf>
    <xf numFmtId="165" fontId="25" fillId="0" borderId="42" xfId="0" applyNumberFormat="1" applyFont="1" applyBorder="1" applyAlignment="1">
      <alignment horizontal="right" vertical="center" wrapText="1"/>
    </xf>
    <xf numFmtId="0" fontId="11" fillId="37" borderId="0" xfId="3" applyFont="1" applyFill="1" applyBorder="1" applyAlignment="1">
      <alignment vertical="center" wrapText="1"/>
    </xf>
    <xf numFmtId="0" fontId="11" fillId="37" borderId="45" xfId="3" applyFont="1" applyFill="1" applyBorder="1" applyAlignment="1">
      <alignment horizontal="center" vertical="center"/>
    </xf>
    <xf numFmtId="0" fontId="11" fillId="37" borderId="43" xfId="3" applyFont="1" applyFill="1" applyBorder="1" applyAlignment="1">
      <alignment horizontal="right" vertical="center"/>
    </xf>
    <xf numFmtId="168" fontId="11" fillId="37" borderId="42" xfId="1" applyNumberFormat="1" applyFont="1" applyFill="1" applyBorder="1" applyAlignment="1">
      <alignment horizontal="right" vertical="center"/>
    </xf>
    <xf numFmtId="0" fontId="11" fillId="0" borderId="2" xfId="0" applyFont="1" applyBorder="1" applyAlignment="1">
      <alignment vertical="center" wrapText="1"/>
    </xf>
    <xf numFmtId="0" fontId="11" fillId="0" borderId="60" xfId="0" applyFont="1" applyBorder="1" applyAlignment="1">
      <alignment horizontal="center" vertical="center"/>
    </xf>
    <xf numFmtId="0" fontId="11" fillId="0" borderId="44" xfId="0" applyFont="1" applyBorder="1" applyAlignment="1">
      <alignment horizontal="right" vertical="center"/>
    </xf>
    <xf numFmtId="0" fontId="17" fillId="37" borderId="10" xfId="4" applyFont="1" applyFill="1" applyBorder="1"/>
    <xf numFmtId="0" fontId="11" fillId="0" borderId="3" xfId="3" applyFont="1" applyFill="1" applyBorder="1" applyAlignment="1">
      <alignment horizontal="left" vertical="center" wrapText="1" readingOrder="1"/>
    </xf>
    <xf numFmtId="0" fontId="11" fillId="0" borderId="42" xfId="3" applyFont="1" applyFill="1" applyBorder="1" applyAlignment="1">
      <alignment horizontal="right" vertical="center" wrapText="1" readingOrder="1"/>
    </xf>
    <xf numFmtId="0" fontId="11" fillId="37" borderId="17" xfId="0" applyFont="1" applyFill="1" applyBorder="1" applyAlignment="1">
      <alignment vertical="center" wrapText="1"/>
    </xf>
    <xf numFmtId="0" fontId="11" fillId="37" borderId="60" xfId="0" applyFont="1" applyFill="1" applyBorder="1" applyAlignment="1">
      <alignment horizontal="center" vertical="center"/>
    </xf>
    <xf numFmtId="0" fontId="11" fillId="37" borderId="44" xfId="0" applyFont="1" applyFill="1" applyBorder="1" applyAlignment="1">
      <alignment horizontal="right" vertical="center"/>
    </xf>
    <xf numFmtId="0" fontId="11" fillId="37" borderId="44" xfId="3" applyFont="1" applyFill="1" applyBorder="1" applyAlignment="1">
      <alignment horizontal="right" vertical="center" wrapText="1" readingOrder="1"/>
    </xf>
    <xf numFmtId="0" fontId="11" fillId="37" borderId="62" xfId="3" applyFont="1" applyFill="1" applyBorder="1" applyAlignment="1">
      <alignment horizontal="right" vertical="center" wrapText="1" readingOrder="1"/>
    </xf>
    <xf numFmtId="0" fontId="11" fillId="11" borderId="0" xfId="0" applyFont="1" applyFill="1" applyAlignment="1">
      <alignment wrapText="1"/>
    </xf>
    <xf numFmtId="0" fontId="17" fillId="37" borderId="14" xfId="4" applyFont="1" applyFill="1" applyBorder="1" applyAlignment="1">
      <alignment vertical="center" wrapText="1" readingOrder="1"/>
    </xf>
    <xf numFmtId="0" fontId="17" fillId="37" borderId="27" xfId="4" applyFont="1" applyFill="1" applyBorder="1" applyAlignment="1">
      <alignment horizontal="center" vertical="center" wrapText="1" readingOrder="1"/>
    </xf>
    <xf numFmtId="0" fontId="17" fillId="37" borderId="6" xfId="4" applyFont="1" applyFill="1" applyBorder="1" applyAlignment="1">
      <alignment horizontal="center" vertical="center" wrapText="1" readingOrder="1"/>
    </xf>
    <xf numFmtId="0" fontId="17" fillId="37" borderId="27" xfId="4" applyFont="1" applyFill="1" applyBorder="1" applyAlignment="1">
      <alignment horizontal="right" vertical="center" wrapText="1" readingOrder="1"/>
    </xf>
    <xf numFmtId="0" fontId="17" fillId="37" borderId="6" xfId="4" applyFont="1" applyFill="1" applyBorder="1" applyAlignment="1">
      <alignment vertical="center" wrapText="1" readingOrder="1"/>
    </xf>
    <xf numFmtId="0" fontId="22" fillId="0" borderId="8" xfId="0" applyFont="1" applyBorder="1" applyAlignment="1">
      <alignment horizontal="left" vertical="center" wrapText="1" readingOrder="1"/>
    </xf>
    <xf numFmtId="0" fontId="22" fillId="0" borderId="10" xfId="0" applyFont="1" applyBorder="1" applyAlignment="1">
      <alignment horizontal="center" vertical="center" wrapText="1" readingOrder="1"/>
    </xf>
    <xf numFmtId="0" fontId="22" fillId="0" borderId="7" xfId="0" applyFont="1" applyBorder="1" applyAlignment="1">
      <alignment horizontal="center" vertical="center" wrapText="1" readingOrder="1"/>
    </xf>
    <xf numFmtId="0" fontId="22" fillId="0" borderId="10" xfId="0" applyFont="1" applyBorder="1" applyAlignment="1">
      <alignment horizontal="right" vertical="center" wrapText="1" readingOrder="1"/>
    </xf>
    <xf numFmtId="0" fontId="22" fillId="0" borderId="7" xfId="0" applyFont="1" applyBorder="1" applyAlignment="1">
      <alignment horizontal="right" vertical="center" wrapText="1" readingOrder="1"/>
    </xf>
    <xf numFmtId="165" fontId="29" fillId="40" borderId="8" xfId="0" applyNumberFormat="1" applyFont="1" applyFill="1" applyBorder="1" applyAlignment="1">
      <alignment horizontal="right" vertical="center" wrapText="1"/>
    </xf>
    <xf numFmtId="0" fontId="17" fillId="37" borderId="39" xfId="3" applyFont="1" applyFill="1" applyBorder="1" applyAlignment="1">
      <alignment vertical="center" wrapText="1" readingOrder="1"/>
    </xf>
    <xf numFmtId="0" fontId="17" fillId="37" borderId="37" xfId="4" applyFont="1" applyFill="1" applyBorder="1" applyAlignment="1">
      <alignment horizontal="center" vertical="center" wrapText="1" readingOrder="1"/>
    </xf>
    <xf numFmtId="0" fontId="17" fillId="37" borderId="37" xfId="4" applyFont="1" applyFill="1" applyBorder="1" applyAlignment="1">
      <alignment horizontal="right" vertical="center" wrapText="1" readingOrder="1"/>
    </xf>
    <xf numFmtId="0" fontId="17" fillId="37" borderId="31" xfId="4" applyFont="1" applyFill="1" applyBorder="1" applyAlignment="1">
      <alignment vertical="center" wrapText="1" readingOrder="1"/>
    </xf>
    <xf numFmtId="0" fontId="17" fillId="37" borderId="39" xfId="4" applyFont="1" applyFill="1" applyBorder="1" applyAlignment="1">
      <alignment vertical="center" wrapText="1" readingOrder="1"/>
    </xf>
    <xf numFmtId="3" fontId="22" fillId="0" borderId="13" xfId="0" applyNumberFormat="1" applyFont="1" applyBorder="1" applyAlignment="1">
      <alignment horizontal="right" vertical="center" wrapText="1" readingOrder="1"/>
    </xf>
    <xf numFmtId="3" fontId="25" fillId="0" borderId="0" xfId="0" applyNumberFormat="1" applyFont="1" applyAlignment="1">
      <alignment horizontal="right" vertical="center" wrapText="1"/>
    </xf>
    <xf numFmtId="3" fontId="25" fillId="0" borderId="3" xfId="0" applyNumberFormat="1" applyFont="1" applyBorder="1" applyAlignment="1">
      <alignment horizontal="right" vertical="center" wrapText="1"/>
    </xf>
    <xf numFmtId="0" fontId="22" fillId="37" borderId="3" xfId="0" applyFont="1" applyFill="1" applyBorder="1" applyAlignment="1">
      <alignment horizontal="left" vertical="center" wrapText="1" readingOrder="1"/>
    </xf>
    <xf numFmtId="0" fontId="22" fillId="37" borderId="13" xfId="0" applyFont="1" applyFill="1" applyBorder="1" applyAlignment="1">
      <alignment horizontal="center" vertical="center" wrapText="1" readingOrder="1"/>
    </xf>
    <xf numFmtId="0" fontId="22" fillId="37" borderId="13" xfId="0" applyFont="1" applyFill="1" applyBorder="1" applyAlignment="1">
      <alignment horizontal="right" vertical="center" wrapText="1" readingOrder="1"/>
    </xf>
    <xf numFmtId="0" fontId="25" fillId="37" borderId="0" xfId="0" applyFont="1" applyFill="1" applyAlignment="1">
      <alignment horizontal="right" vertical="center" wrapText="1"/>
    </xf>
    <xf numFmtId="0" fontId="25" fillId="37" borderId="3" xfId="0" applyFont="1" applyFill="1" applyBorder="1" applyAlignment="1">
      <alignment horizontal="right" vertical="center" wrapText="1"/>
    </xf>
    <xf numFmtId="3" fontId="22" fillId="37" borderId="13" xfId="0" applyNumberFormat="1" applyFont="1" applyFill="1" applyBorder="1" applyAlignment="1">
      <alignment horizontal="right" vertical="center" wrapText="1" readingOrder="1"/>
    </xf>
    <xf numFmtId="3" fontId="25" fillId="37" borderId="0" xfId="0" applyNumberFormat="1" applyFont="1" applyFill="1" applyAlignment="1">
      <alignment horizontal="right" vertical="center" wrapText="1"/>
    </xf>
    <xf numFmtId="0" fontId="22" fillId="0" borderId="73" xfId="0" applyFont="1" applyBorder="1" applyAlignment="1">
      <alignment horizontal="right" vertical="center" wrapText="1" readingOrder="1"/>
    </xf>
    <xf numFmtId="0" fontId="25" fillId="0" borderId="58" xfId="0" applyFont="1" applyBorder="1" applyAlignment="1">
      <alignment horizontal="right" vertical="center" wrapText="1"/>
    </xf>
    <xf numFmtId="0" fontId="25" fillId="0" borderId="101" xfId="0" applyFont="1" applyBorder="1" applyAlignment="1">
      <alignment horizontal="right" vertical="center" wrapText="1"/>
    </xf>
    <xf numFmtId="0" fontId="17" fillId="37" borderId="8" xfId="4" applyFont="1" applyFill="1" applyBorder="1" applyAlignment="1">
      <alignment vertical="center" wrapText="1" readingOrder="1"/>
    </xf>
    <xf numFmtId="0" fontId="17" fillId="37" borderId="109" xfId="4" applyFont="1" applyFill="1" applyBorder="1" applyAlignment="1">
      <alignment horizontal="center" vertical="center" wrapText="1" readingOrder="1"/>
    </xf>
    <xf numFmtId="0" fontId="17" fillId="37" borderId="109" xfId="4" applyFont="1" applyFill="1" applyBorder="1" applyAlignment="1">
      <alignment horizontal="right" vertical="center" wrapText="1" readingOrder="1"/>
    </xf>
    <xf numFmtId="0" fontId="17" fillId="37" borderId="110" xfId="4" applyFont="1" applyFill="1" applyBorder="1" applyAlignment="1">
      <alignment vertical="center" wrapText="1" readingOrder="1"/>
    </xf>
    <xf numFmtId="0" fontId="17" fillId="37" borderId="103" xfId="4" applyFont="1" applyFill="1" applyBorder="1" applyAlignment="1">
      <alignment vertical="center" wrapText="1" readingOrder="1"/>
    </xf>
    <xf numFmtId="0" fontId="22" fillId="0" borderId="8" xfId="0" applyFont="1" applyBorder="1" applyAlignment="1">
      <alignment horizontal="right" vertical="center" wrapText="1" readingOrder="1"/>
    </xf>
    <xf numFmtId="0" fontId="17" fillId="37" borderId="111" xfId="4" applyFont="1" applyFill="1" applyBorder="1" applyAlignment="1">
      <alignment vertical="center" wrapText="1" readingOrder="1"/>
    </xf>
    <xf numFmtId="0" fontId="17" fillId="37" borderId="112" xfId="4" applyFont="1" applyFill="1" applyBorder="1" applyAlignment="1">
      <alignment horizontal="center" vertical="center" wrapText="1" readingOrder="1"/>
    </xf>
    <xf numFmtId="0" fontId="17" fillId="37" borderId="112" xfId="4" applyFont="1" applyFill="1" applyBorder="1" applyAlignment="1">
      <alignment horizontal="right" vertical="center" wrapText="1" readingOrder="1"/>
    </xf>
    <xf numFmtId="0" fontId="17" fillId="37" borderId="113" xfId="4" applyFont="1" applyFill="1" applyBorder="1" applyAlignment="1">
      <alignment horizontal="right" vertical="center" wrapText="1" readingOrder="1"/>
    </xf>
    <xf numFmtId="0" fontId="11" fillId="0" borderId="114" xfId="3" applyFont="1" applyFill="1" applyBorder="1" applyAlignment="1">
      <alignment horizontal="left" vertical="center" wrapText="1" readingOrder="1"/>
    </xf>
    <xf numFmtId="0" fontId="11" fillId="0" borderId="115" xfId="3" applyFont="1" applyFill="1" applyBorder="1" applyAlignment="1">
      <alignment horizontal="center" vertical="center" wrapText="1" readingOrder="1"/>
    </xf>
    <xf numFmtId="0" fontId="11" fillId="0" borderId="116" xfId="3" applyNumberFormat="1" applyFont="1" applyFill="1" applyBorder="1" applyAlignment="1">
      <alignment horizontal="center" vertical="center" wrapText="1" readingOrder="1"/>
    </xf>
    <xf numFmtId="0" fontId="11" fillId="0" borderId="117" xfId="3" applyNumberFormat="1" applyFont="1" applyFill="1" applyBorder="1" applyAlignment="1">
      <alignment horizontal="right" vertical="center" wrapText="1" readingOrder="1"/>
    </xf>
    <xf numFmtId="0" fontId="11" fillId="0" borderId="118" xfId="3" applyFont="1" applyFill="1" applyBorder="1" applyAlignment="1">
      <alignment horizontal="right" vertical="center" wrapText="1" readingOrder="1"/>
    </xf>
    <xf numFmtId="0" fontId="11" fillId="37" borderId="3" xfId="0" applyFont="1" applyFill="1" applyBorder="1" applyAlignment="1">
      <alignment vertical="center"/>
    </xf>
    <xf numFmtId="0" fontId="11" fillId="37" borderId="42" xfId="0" applyFont="1" applyFill="1" applyBorder="1" applyAlignment="1">
      <alignment horizontal="center" vertical="center"/>
    </xf>
    <xf numFmtId="0" fontId="11" fillId="37" borderId="0" xfId="0" applyFont="1" applyFill="1" applyAlignment="1">
      <alignment horizontal="right" vertical="center"/>
    </xf>
    <xf numFmtId="0" fontId="11" fillId="0" borderId="43" xfId="0" applyFont="1" applyBorder="1" applyAlignment="1">
      <alignment horizontal="right" vertical="center"/>
    </xf>
    <xf numFmtId="0" fontId="11" fillId="37" borderId="3" xfId="3" applyFont="1" applyFill="1" applyBorder="1" applyAlignment="1">
      <alignment horizontal="left" vertical="center" wrapText="1" readingOrder="1"/>
    </xf>
    <xf numFmtId="0" fontId="11" fillId="37" borderId="42" xfId="3" applyFont="1" applyFill="1" applyBorder="1" applyAlignment="1">
      <alignment horizontal="center" vertical="center" wrapText="1" readingOrder="1"/>
    </xf>
    <xf numFmtId="0" fontId="11" fillId="0" borderId="42" xfId="3" applyFont="1" applyFill="1" applyBorder="1" applyAlignment="1">
      <alignment horizontal="center" vertical="center" wrapText="1" readingOrder="1"/>
    </xf>
    <xf numFmtId="0" fontId="17" fillId="37" borderId="120" xfId="4" applyFont="1" applyFill="1" applyBorder="1" applyAlignment="1">
      <alignment vertical="center" wrapText="1" readingOrder="1"/>
    </xf>
    <xf numFmtId="166" fontId="11" fillId="0" borderId="119" xfId="3" applyNumberFormat="1" applyFont="1" applyFill="1" applyBorder="1" applyAlignment="1">
      <alignment horizontal="center" vertical="center" wrapText="1" readingOrder="1"/>
    </xf>
    <xf numFmtId="166" fontId="11" fillId="0" borderId="119" xfId="3" applyNumberFormat="1" applyFont="1" applyFill="1" applyBorder="1" applyAlignment="1">
      <alignment horizontal="right" vertical="center" wrapText="1" readingOrder="1"/>
    </xf>
    <xf numFmtId="0" fontId="11" fillId="0" borderId="114" xfId="3" applyNumberFormat="1" applyFont="1" applyFill="1" applyBorder="1" applyAlignment="1">
      <alignment horizontal="right" vertical="center" wrapText="1" readingOrder="1"/>
    </xf>
    <xf numFmtId="166" fontId="11" fillId="37" borderId="13" xfId="0" applyNumberFormat="1" applyFont="1" applyFill="1" applyBorder="1" applyAlignment="1">
      <alignment horizontal="center" vertical="center"/>
    </xf>
    <xf numFmtId="166" fontId="11" fillId="37" borderId="13" xfId="0" applyNumberFormat="1" applyFont="1" applyFill="1" applyBorder="1" applyAlignment="1">
      <alignment horizontal="right" vertical="center"/>
    </xf>
    <xf numFmtId="0" fontId="11" fillId="37" borderId="3" xfId="0" applyFont="1" applyFill="1" applyBorder="1" applyAlignment="1">
      <alignment horizontal="right" vertical="center"/>
    </xf>
    <xf numFmtId="166" fontId="11" fillId="0" borderId="13" xfId="0" applyNumberFormat="1" applyFont="1" applyBorder="1" applyAlignment="1">
      <alignment horizontal="center" vertical="center"/>
    </xf>
    <xf numFmtId="0" fontId="11" fillId="0" borderId="3" xfId="0" applyFont="1" applyBorder="1" applyAlignment="1">
      <alignment horizontal="right" vertical="center"/>
    </xf>
    <xf numFmtId="0" fontId="11" fillId="0" borderId="17" xfId="3" applyFont="1" applyFill="1" applyBorder="1" applyAlignment="1">
      <alignment horizontal="left" vertical="center" wrapText="1" readingOrder="1"/>
    </xf>
    <xf numFmtId="0" fontId="11" fillId="0" borderId="62" xfId="3" applyFont="1" applyFill="1" applyBorder="1" applyAlignment="1">
      <alignment horizontal="center" vertical="center" wrapText="1" readingOrder="1"/>
    </xf>
    <xf numFmtId="166" fontId="11" fillId="0" borderId="16" xfId="0" applyNumberFormat="1" applyFont="1" applyBorder="1" applyAlignment="1">
      <alignment horizontal="center" vertical="center"/>
    </xf>
    <xf numFmtId="166" fontId="11" fillId="0" borderId="16" xfId="0" applyNumberFormat="1" applyFont="1" applyBorder="1" applyAlignment="1">
      <alignment horizontal="right" vertical="center"/>
    </xf>
    <xf numFmtId="0" fontId="11" fillId="0" borderId="17" xfId="0" applyFont="1" applyBorder="1" applyAlignment="1">
      <alignment horizontal="right" vertical="center"/>
    </xf>
    <xf numFmtId="0" fontId="11" fillId="0" borderId="0" xfId="3" applyFont="1" applyFill="1" applyBorder="1" applyAlignment="1">
      <alignment horizontal="center" vertical="center" wrapText="1" readingOrder="1"/>
    </xf>
    <xf numFmtId="0" fontId="17" fillId="11" borderId="0" xfId="3" applyFont="1" applyFill="1" applyBorder="1" applyAlignment="1">
      <alignment horizontal="left" vertical="center" wrapText="1" readingOrder="1"/>
    </xf>
    <xf numFmtId="0" fontId="11" fillId="11" borderId="0" xfId="3" applyFont="1" applyFill="1" applyBorder="1" applyAlignment="1">
      <alignment horizontal="center" vertical="center" wrapText="1" readingOrder="1"/>
    </xf>
    <xf numFmtId="166" fontId="11" fillId="11" borderId="0" xfId="0" applyNumberFormat="1" applyFont="1" applyFill="1" applyAlignment="1">
      <alignment horizontal="center" vertical="center"/>
    </xf>
    <xf numFmtId="166" fontId="11" fillId="11" borderId="0" xfId="0" applyNumberFormat="1" applyFont="1" applyFill="1" applyAlignment="1">
      <alignment horizontal="right" vertical="center"/>
    </xf>
    <xf numFmtId="0" fontId="11" fillId="11" borderId="0" xfId="0" applyFont="1" applyFill="1" applyAlignment="1">
      <alignment horizontal="right" vertical="center"/>
    </xf>
    <xf numFmtId="0" fontId="11" fillId="0" borderId="114" xfId="3" applyFont="1" applyFill="1" applyBorder="1" applyAlignment="1">
      <alignment horizontal="right" vertical="center" wrapText="1"/>
    </xf>
    <xf numFmtId="9" fontId="11" fillId="37" borderId="3" xfId="0" applyNumberFormat="1" applyFont="1" applyFill="1" applyBorder="1" applyAlignment="1">
      <alignment horizontal="right" vertical="center"/>
    </xf>
    <xf numFmtId="0" fontId="17" fillId="37" borderId="120" xfId="4" applyFont="1" applyFill="1" applyBorder="1" applyAlignment="1">
      <alignment horizontal="right" vertical="center" wrapText="1" readingOrder="1"/>
    </xf>
    <xf numFmtId="0" fontId="28" fillId="37" borderId="8" xfId="0" applyFont="1" applyFill="1" applyBorder="1" applyAlignment="1">
      <alignment vertical="center" wrapText="1" readingOrder="1"/>
    </xf>
    <xf numFmtId="0" fontId="27" fillId="37" borderId="59" xfId="0" applyFont="1" applyFill="1" applyBorder="1" applyAlignment="1">
      <alignment horizontal="center" vertical="center" wrapText="1" readingOrder="1"/>
    </xf>
    <xf numFmtId="0" fontId="27" fillId="37" borderId="48" xfId="0" applyFont="1" applyFill="1" applyBorder="1" applyAlignment="1">
      <alignment horizontal="right" vertical="center" wrapText="1" readingOrder="1"/>
    </xf>
    <xf numFmtId="0" fontId="27" fillId="37" borderId="75" xfId="0" applyFont="1" applyFill="1" applyBorder="1" applyAlignment="1">
      <alignment horizontal="right" vertical="center" wrapText="1" readingOrder="1"/>
    </xf>
    <xf numFmtId="0" fontId="29" fillId="3" borderId="14" xfId="0" applyFont="1" applyFill="1" applyBorder="1" applyAlignment="1">
      <alignment horizontal="left" vertical="center" wrapText="1" readingOrder="1"/>
    </xf>
    <xf numFmtId="0" fontId="29" fillId="3" borderId="45" xfId="0" applyFont="1" applyFill="1" applyBorder="1" applyAlignment="1">
      <alignment horizontal="center" vertical="center" wrapText="1" readingOrder="1"/>
    </xf>
    <xf numFmtId="0" fontId="29" fillId="3" borderId="49" xfId="0" applyFont="1" applyFill="1" applyBorder="1" applyAlignment="1">
      <alignment horizontal="right" vertical="center" wrapText="1" readingOrder="1"/>
    </xf>
    <xf numFmtId="0" fontId="29" fillId="3" borderId="17" xfId="0" applyFont="1" applyFill="1" applyBorder="1" applyAlignment="1">
      <alignment horizontal="left" vertical="center" wrapText="1" readingOrder="1"/>
    </xf>
    <xf numFmtId="0" fontId="29" fillId="3" borderId="44" xfId="0" applyFont="1" applyFill="1" applyBorder="1" applyAlignment="1">
      <alignment horizontal="right" vertical="center" wrapText="1" readingOrder="1"/>
    </xf>
    <xf numFmtId="0" fontId="29" fillId="3" borderId="54" xfId="0" applyFont="1" applyFill="1" applyBorder="1" applyAlignment="1">
      <alignment horizontal="center" vertical="center" wrapText="1" readingOrder="1"/>
    </xf>
    <xf numFmtId="0" fontId="29" fillId="3" borderId="60" xfId="0" applyFont="1" applyFill="1" applyBorder="1" applyAlignment="1">
      <alignment horizontal="center" vertical="center" wrapText="1" readingOrder="1"/>
    </xf>
    <xf numFmtId="0" fontId="29" fillId="3" borderId="6" xfId="0" applyFont="1" applyFill="1" applyBorder="1" applyAlignment="1">
      <alignment horizontal="right" vertical="center" wrapText="1" readingOrder="1"/>
    </xf>
    <xf numFmtId="0" fontId="29" fillId="3" borderId="2" xfId="0" applyFont="1" applyFill="1" applyBorder="1" applyAlignment="1">
      <alignment horizontal="right" vertical="center" wrapText="1" readingOrder="1"/>
    </xf>
    <xf numFmtId="3" fontId="22" fillId="0" borderId="13" xfId="0" applyNumberFormat="1" applyFont="1" applyBorder="1" applyAlignment="1">
      <alignment horizontal="center" vertical="center" wrapText="1" readingOrder="1"/>
    </xf>
    <xf numFmtId="3" fontId="22" fillId="37" borderId="13" xfId="0" applyNumberFormat="1" applyFont="1" applyFill="1" applyBorder="1" applyAlignment="1">
      <alignment horizontal="center" vertical="center" wrapText="1" readingOrder="1"/>
    </xf>
    <xf numFmtId="0" fontId="11" fillId="11" borderId="0" xfId="0" applyFont="1" applyFill="1" applyAlignment="1">
      <alignment vertical="center"/>
    </xf>
    <xf numFmtId="0" fontId="11" fillId="0" borderId="121" xfId="3" applyFont="1" applyFill="1" applyBorder="1" applyAlignment="1">
      <alignment horizontal="center" vertical="center" wrapText="1" readingOrder="1"/>
    </xf>
    <xf numFmtId="0" fontId="11" fillId="37" borderId="122" xfId="0" applyFont="1" applyFill="1" applyBorder="1" applyAlignment="1">
      <alignment horizontal="center" vertical="center"/>
    </xf>
    <xf numFmtId="0" fontId="11" fillId="37" borderId="122" xfId="3" applyFont="1" applyFill="1" applyBorder="1" applyAlignment="1">
      <alignment horizontal="center" vertical="center" wrapText="1" readingOrder="1"/>
    </xf>
    <xf numFmtId="0" fontId="11" fillId="0" borderId="123" xfId="3" applyFont="1" applyFill="1" applyBorder="1" applyAlignment="1">
      <alignment horizontal="center" vertical="center" wrapText="1" readingOrder="1"/>
    </xf>
    <xf numFmtId="4" fontId="25" fillId="0" borderId="3" xfId="0" applyNumberFormat="1" applyFont="1" applyBorder="1" applyAlignment="1">
      <alignment horizontal="right" vertical="center" wrapText="1"/>
    </xf>
    <xf numFmtId="4" fontId="11" fillId="9" borderId="3" xfId="3" quotePrefix="1" applyNumberFormat="1" applyFont="1" applyBorder="1" applyAlignment="1">
      <alignment horizontal="right" vertical="center"/>
    </xf>
    <xf numFmtId="4" fontId="11" fillId="0" borderId="3" xfId="0" quotePrefix="1" applyNumberFormat="1" applyFont="1" applyBorder="1" applyAlignment="1">
      <alignment horizontal="right" vertical="center"/>
    </xf>
    <xf numFmtId="0" fontId="26" fillId="12" borderId="6" xfId="3" applyFont="1" applyFill="1" applyBorder="1" applyAlignment="1">
      <alignment vertical="center" wrapText="1"/>
    </xf>
    <xf numFmtId="168" fontId="29" fillId="0" borderId="70" xfId="1" applyNumberFormat="1" applyFont="1" applyBorder="1" applyAlignment="1">
      <alignment horizontal="center" wrapText="1" readingOrder="1"/>
    </xf>
    <xf numFmtId="168" fontId="29" fillId="0" borderId="13" xfId="1" applyNumberFormat="1" applyFont="1" applyBorder="1" applyAlignment="1">
      <alignment horizontal="center" wrapText="1" readingOrder="1"/>
    </xf>
    <xf numFmtId="168" fontId="29" fillId="20" borderId="70" xfId="0" applyNumberFormat="1" applyFont="1" applyFill="1" applyBorder="1" applyAlignment="1">
      <alignment horizontal="center" wrapText="1" readingOrder="1"/>
    </xf>
    <xf numFmtId="168" fontId="29" fillId="20" borderId="13" xfId="0" applyNumberFormat="1" applyFont="1" applyFill="1" applyBorder="1" applyAlignment="1">
      <alignment horizontal="center" wrapText="1" readingOrder="1"/>
    </xf>
    <xf numFmtId="9" fontId="29" fillId="20" borderId="13" xfId="0" applyNumberFormat="1" applyFont="1" applyFill="1" applyBorder="1" applyAlignment="1">
      <alignment wrapText="1" readingOrder="1"/>
    </xf>
    <xf numFmtId="0" fontId="29" fillId="20" borderId="13" xfId="0" applyFont="1" applyFill="1" applyBorder="1" applyAlignment="1">
      <alignment horizontal="right" wrapText="1" readingOrder="1"/>
    </xf>
    <xf numFmtId="0" fontId="29" fillId="0" borderId="13" xfId="0" applyFont="1" applyBorder="1" applyAlignment="1">
      <alignment horizontal="right" wrapText="1" readingOrder="1"/>
    </xf>
    <xf numFmtId="0" fontId="29" fillId="20" borderId="37" xfId="0" applyFont="1" applyFill="1" applyBorder="1" applyAlignment="1">
      <alignment horizontal="right" wrapText="1" readingOrder="1"/>
    </xf>
    <xf numFmtId="0" fontId="29" fillId="20" borderId="43" xfId="0" applyFont="1" applyFill="1" applyBorder="1" applyAlignment="1">
      <alignment horizontal="center" wrapText="1" readingOrder="1"/>
    </xf>
    <xf numFmtId="3" fontId="29" fillId="31" borderId="37" xfId="0" applyNumberFormat="1" applyFont="1" applyFill="1" applyBorder="1" applyAlignment="1">
      <alignment wrapText="1" readingOrder="1"/>
    </xf>
    <xf numFmtId="3" fontId="29" fillId="20" borderId="31" xfId="0" applyNumberFormat="1" applyFont="1" applyFill="1" applyBorder="1" applyAlignment="1">
      <alignment wrapText="1" readingOrder="1"/>
    </xf>
    <xf numFmtId="3" fontId="52" fillId="20" borderId="84" xfId="0" applyNumberFormat="1" applyFont="1" applyFill="1" applyBorder="1" applyAlignment="1">
      <alignment wrapText="1" readingOrder="1"/>
    </xf>
    <xf numFmtId="168" fontId="29" fillId="20" borderId="36" xfId="0" applyNumberFormat="1" applyFont="1" applyFill="1" applyBorder="1" applyAlignment="1">
      <alignment horizontal="right" wrapText="1" readingOrder="1"/>
    </xf>
    <xf numFmtId="168" fontId="29" fillId="20" borderId="37" xfId="0" applyNumberFormat="1" applyFont="1" applyFill="1" applyBorder="1" applyAlignment="1">
      <alignment horizontal="center" wrapText="1" readingOrder="1"/>
    </xf>
    <xf numFmtId="168" fontId="29" fillId="20" borderId="36" xfId="0" applyNumberFormat="1" applyFont="1" applyFill="1" applyBorder="1" applyAlignment="1">
      <alignment wrapText="1" readingOrder="1"/>
    </xf>
    <xf numFmtId="0" fontId="29" fillId="20" borderId="50" xfId="0" applyFont="1" applyFill="1" applyBorder="1" applyAlignment="1">
      <alignment wrapText="1" readingOrder="1"/>
    </xf>
    <xf numFmtId="43" fontId="29" fillId="0" borderId="84" xfId="0" applyNumberFormat="1" applyFont="1" applyBorder="1" applyAlignment="1">
      <alignment horizontal="right" wrapText="1" readingOrder="1"/>
    </xf>
    <xf numFmtId="0" fontId="29" fillId="20" borderId="70" xfId="0" applyFont="1" applyFill="1" applyBorder="1" applyAlignment="1">
      <alignment horizontal="right" wrapText="1" readingOrder="1"/>
    </xf>
    <xf numFmtId="43" fontId="29" fillId="20" borderId="70" xfId="0" applyNumberFormat="1" applyFont="1" applyFill="1" applyBorder="1" applyAlignment="1">
      <alignment horizontal="right" wrapText="1" readingOrder="1"/>
    </xf>
    <xf numFmtId="43" fontId="29" fillId="0" borderId="70" xfId="0" applyNumberFormat="1" applyFont="1" applyBorder="1" applyAlignment="1">
      <alignment horizontal="right" wrapText="1" readingOrder="1"/>
    </xf>
    <xf numFmtId="43" fontId="29" fillId="20" borderId="84" xfId="0" applyNumberFormat="1" applyFont="1" applyFill="1" applyBorder="1" applyAlignment="1">
      <alignment horizontal="right" wrapText="1" readingOrder="1"/>
    </xf>
    <xf numFmtId="43" fontId="29" fillId="0" borderId="106" xfId="0" applyNumberFormat="1" applyFont="1" applyBorder="1" applyAlignment="1">
      <alignment horizontal="right" wrapText="1" readingOrder="1"/>
    </xf>
    <xf numFmtId="0" fontId="29" fillId="20" borderId="42" xfId="0" applyFont="1" applyFill="1" applyBorder="1" applyAlignment="1">
      <alignment horizontal="right" wrapText="1" readingOrder="1"/>
    </xf>
    <xf numFmtId="3" fontId="29" fillId="0" borderId="42" xfId="0" applyNumberFormat="1" applyFont="1" applyBorder="1" applyAlignment="1">
      <alignment horizontal="right" wrapText="1" readingOrder="1"/>
    </xf>
    <xf numFmtId="3" fontId="29" fillId="20" borderId="42" xfId="0" applyNumberFormat="1" applyFont="1" applyFill="1" applyBorder="1" applyAlignment="1">
      <alignment horizontal="right" wrapText="1" readingOrder="1"/>
    </xf>
    <xf numFmtId="0" fontId="29" fillId="0" borderId="42" xfId="0" applyFont="1" applyBorder="1" applyAlignment="1">
      <alignment horizontal="right" wrapText="1" readingOrder="1"/>
    </xf>
    <xf numFmtId="168" fontId="29" fillId="0" borderId="42" xfId="0" applyNumberFormat="1" applyFont="1" applyBorder="1" applyAlignment="1">
      <alignment horizontal="right" wrapText="1" readingOrder="1"/>
    </xf>
    <xf numFmtId="2" fontId="29" fillId="0" borderId="52" xfId="0" applyNumberFormat="1" applyFont="1" applyBorder="1" applyAlignment="1">
      <alignment horizontal="right" wrapText="1" readingOrder="1"/>
    </xf>
    <xf numFmtId="2" fontId="29" fillId="0" borderId="42" xfId="0" applyNumberFormat="1" applyFont="1" applyBorder="1" applyAlignment="1">
      <alignment horizontal="right" wrapText="1" readingOrder="1"/>
    </xf>
    <xf numFmtId="3" fontId="29" fillId="20" borderId="52" xfId="0" applyNumberFormat="1" applyFont="1" applyFill="1" applyBorder="1" applyAlignment="1">
      <alignment horizontal="right" wrapText="1" readingOrder="1"/>
    </xf>
    <xf numFmtId="43" fontId="29" fillId="0" borderId="13" xfId="0" applyNumberFormat="1" applyFont="1" applyBorder="1" applyAlignment="1">
      <alignment horizontal="right" wrapText="1" readingOrder="1"/>
    </xf>
    <xf numFmtId="43" fontId="29" fillId="20" borderId="13" xfId="0" applyNumberFormat="1" applyFont="1" applyFill="1" applyBorder="1" applyAlignment="1">
      <alignment horizontal="right" wrapText="1" readingOrder="1"/>
    </xf>
    <xf numFmtId="2" fontId="29" fillId="20" borderId="13" xfId="0" applyNumberFormat="1" applyFont="1" applyFill="1" applyBorder="1" applyAlignment="1">
      <alignment horizontal="right" wrapText="1" readingOrder="1"/>
    </xf>
    <xf numFmtId="4" fontId="29" fillId="23" borderId="12" xfId="0" applyNumberFormat="1" applyFont="1" applyFill="1" applyBorder="1" applyAlignment="1">
      <alignment horizontal="right" wrapText="1" readingOrder="1"/>
    </xf>
    <xf numFmtId="43" fontId="29" fillId="0" borderId="37" xfId="0" applyNumberFormat="1" applyFont="1" applyBorder="1" applyAlignment="1">
      <alignment horizontal="right" wrapText="1" readingOrder="1"/>
    </xf>
    <xf numFmtId="3" fontId="22" fillId="3" borderId="13" xfId="0" applyNumberFormat="1" applyFont="1" applyFill="1" applyBorder="1" applyAlignment="1">
      <alignment horizontal="center" vertical="center" wrapText="1"/>
    </xf>
    <xf numFmtId="0" fontId="22" fillId="0" borderId="2" xfId="0" applyFont="1" applyBorder="1" applyAlignment="1">
      <alignment vertical="center" wrapText="1"/>
    </xf>
    <xf numFmtId="0" fontId="22" fillId="0" borderId="16" xfId="0" applyFont="1" applyBorder="1" applyAlignment="1">
      <alignment horizontal="center" vertical="center" wrapText="1"/>
    </xf>
    <xf numFmtId="3" fontId="22" fillId="0" borderId="0" xfId="0" applyNumberFormat="1" applyFont="1" applyAlignment="1">
      <alignment horizontal="center" vertical="center" wrapText="1" readingOrder="1"/>
    </xf>
    <xf numFmtId="3" fontId="22" fillId="37" borderId="0" xfId="0" applyNumberFormat="1" applyFont="1" applyFill="1" applyAlignment="1">
      <alignment horizontal="center" vertical="center" wrapText="1" readingOrder="1"/>
    </xf>
    <xf numFmtId="3" fontId="22" fillId="0" borderId="58" xfId="0" applyNumberFormat="1" applyFont="1" applyBorder="1" applyAlignment="1">
      <alignment horizontal="center" vertical="center" wrapText="1" readingOrder="1"/>
    </xf>
    <xf numFmtId="9" fontId="22" fillId="0" borderId="27" xfId="0" applyNumberFormat="1" applyFont="1" applyBorder="1" applyAlignment="1">
      <alignment horizontal="center" vertical="center" wrapText="1"/>
    </xf>
    <xf numFmtId="43" fontId="29" fillId="0" borderId="71" xfId="0" applyNumberFormat="1" applyFont="1" applyBorder="1" applyAlignment="1">
      <alignment horizontal="right" wrapText="1" readingOrder="1"/>
    </xf>
    <xf numFmtId="2" fontId="29" fillId="0" borderId="16" xfId="0" applyNumberFormat="1" applyFont="1" applyBorder="1" applyAlignment="1">
      <alignment wrapText="1" readingOrder="1"/>
    </xf>
    <xf numFmtId="0" fontId="29" fillId="0" borderId="2" xfId="0" applyFont="1" applyBorder="1" applyAlignment="1">
      <alignment wrapText="1" readingOrder="1"/>
    </xf>
    <xf numFmtId="0" fontId="29" fillId="0" borderId="71" xfId="0" applyFont="1" applyBorder="1" applyAlignment="1">
      <alignment wrapText="1" readingOrder="1"/>
    </xf>
    <xf numFmtId="2" fontId="29" fillId="20" borderId="0" xfId="0" applyNumberFormat="1" applyFont="1" applyFill="1" applyAlignment="1">
      <alignment wrapText="1" readingOrder="1"/>
    </xf>
    <xf numFmtId="3" fontId="22" fillId="12" borderId="0" xfId="0" applyNumberFormat="1" applyFont="1" applyFill="1" applyAlignment="1">
      <alignment horizontal="center" vertical="center" wrapText="1"/>
    </xf>
    <xf numFmtId="3" fontId="22" fillId="0" borderId="0" xfId="0" applyNumberFormat="1" applyFont="1" applyAlignment="1">
      <alignment horizontal="center" vertical="center" wrapText="1"/>
    </xf>
    <xf numFmtId="166" fontId="11" fillId="0" borderId="122" xfId="0" applyNumberFormat="1" applyFont="1" applyBorder="1" applyAlignment="1">
      <alignment horizontal="center" vertical="center"/>
    </xf>
    <xf numFmtId="2" fontId="22" fillId="12" borderId="0" xfId="0" applyNumberFormat="1" applyFont="1" applyFill="1" applyAlignment="1">
      <alignment horizontal="center" vertical="center"/>
    </xf>
    <xf numFmtId="2" fontId="22" fillId="12" borderId="13" xfId="0" applyNumberFormat="1" applyFont="1" applyFill="1" applyBorder="1" applyAlignment="1">
      <alignment horizontal="center" vertical="center"/>
    </xf>
    <xf numFmtId="1" fontId="22" fillId="0" borderId="13" xfId="0" applyNumberFormat="1" applyFont="1" applyBorder="1" applyAlignment="1">
      <alignment horizontal="center" vertical="center" wrapText="1"/>
    </xf>
    <xf numFmtId="1" fontId="22" fillId="0" borderId="0" xfId="0" applyNumberFormat="1" applyFont="1" applyAlignment="1">
      <alignment horizontal="center" vertical="center" wrapText="1"/>
    </xf>
    <xf numFmtId="3" fontId="22" fillId="0" borderId="84" xfId="0" applyNumberFormat="1" applyFont="1" applyBorder="1" applyAlignment="1">
      <alignment horizontal="center" vertical="center" wrapText="1"/>
    </xf>
    <xf numFmtId="0" fontId="29" fillId="0" borderId="0" xfId="0" applyFont="1" applyAlignment="1">
      <alignment vertical="center" wrapText="1"/>
    </xf>
    <xf numFmtId="0" fontId="11" fillId="0" borderId="0" xfId="0" applyFont="1" applyAlignment="1">
      <alignment horizontal="left" vertical="center"/>
    </xf>
    <xf numFmtId="0" fontId="28" fillId="8" borderId="0" xfId="4" applyFont="1" applyFill="1" applyBorder="1" applyAlignment="1">
      <alignment horizontal="left" vertical="center"/>
    </xf>
    <xf numFmtId="0" fontId="11" fillId="11" borderId="0" xfId="0" applyFont="1" applyFill="1" applyAlignment="1">
      <alignment vertical="center" wrapText="1"/>
    </xf>
    <xf numFmtId="0" fontId="30" fillId="29" borderId="0" xfId="0" applyFont="1" applyFill="1" applyAlignment="1">
      <alignment vertical="center" wrapText="1" readingOrder="1"/>
    </xf>
    <xf numFmtId="0" fontId="11" fillId="3" borderId="0" xfId="0" applyFont="1" applyFill="1"/>
    <xf numFmtId="0" fontId="11" fillId="3" borderId="0" xfId="0" applyFont="1" applyFill="1" applyAlignment="1">
      <alignment horizontal="right"/>
    </xf>
    <xf numFmtId="0" fontId="22" fillId="0" borderId="73" xfId="0" applyFont="1" applyBorder="1" applyAlignment="1">
      <alignment horizontal="left" vertical="center" wrapText="1" readingOrder="1"/>
    </xf>
    <xf numFmtId="0" fontId="22" fillId="0" borderId="58" xfId="0" applyFont="1" applyBorder="1" applyAlignment="1">
      <alignment horizontal="left" vertical="center" wrapText="1" readingOrder="1"/>
    </xf>
    <xf numFmtId="0" fontId="0" fillId="3" borderId="0" xfId="0" applyFill="1" applyAlignment="1">
      <alignment horizontal="left" vertical="center"/>
    </xf>
    <xf numFmtId="0" fontId="22" fillId="0" borderId="13" xfId="0" applyFont="1" applyBorder="1" applyAlignment="1">
      <alignment horizontal="right" vertical="center" wrapText="1" readingOrder="1"/>
    </xf>
    <xf numFmtId="0" fontId="22" fillId="2" borderId="13" xfId="0" applyFont="1" applyFill="1" applyBorder="1" applyAlignment="1">
      <alignment horizontal="right" vertical="center" wrapText="1" readingOrder="1"/>
    </xf>
    <xf numFmtId="166" fontId="22" fillId="0" borderId="73" xfId="0" applyNumberFormat="1" applyFont="1" applyBorder="1" applyAlignment="1">
      <alignment horizontal="right" vertical="center" readingOrder="1"/>
    </xf>
    <xf numFmtId="1" fontId="11" fillId="3" borderId="13" xfId="3" applyNumberFormat="1" applyFont="1" applyFill="1" applyBorder="1" applyAlignment="1">
      <alignment horizontal="right" vertical="center" wrapText="1" readingOrder="1"/>
    </xf>
    <xf numFmtId="0" fontId="11" fillId="12" borderId="13" xfId="0" applyFont="1" applyFill="1" applyBorder="1" applyAlignment="1">
      <alignment horizontal="right" vertical="center"/>
    </xf>
    <xf numFmtId="0" fontId="29" fillId="3" borderId="13" xfId="0" applyFont="1" applyFill="1" applyBorder="1" applyAlignment="1">
      <alignment horizontal="right" vertical="center" wrapText="1" readingOrder="1"/>
    </xf>
    <xf numFmtId="166" fontId="11" fillId="12" borderId="13" xfId="0" applyNumberFormat="1" applyFont="1" applyFill="1" applyBorder="1" applyAlignment="1">
      <alignment horizontal="right" vertical="center"/>
    </xf>
    <xf numFmtId="0" fontId="11" fillId="3" borderId="13" xfId="0" applyFont="1" applyFill="1" applyBorder="1" applyAlignment="1">
      <alignment horizontal="right" vertical="center"/>
    </xf>
    <xf numFmtId="1" fontId="11" fillId="12" borderId="13" xfId="0" applyNumberFormat="1" applyFont="1" applyFill="1" applyBorder="1" applyAlignment="1">
      <alignment horizontal="right" vertical="center"/>
    </xf>
    <xf numFmtId="166" fontId="29" fillId="3" borderId="13" xfId="0" applyNumberFormat="1" applyFont="1" applyFill="1" applyBorder="1" applyAlignment="1">
      <alignment horizontal="right" vertical="center" wrapText="1" readingOrder="1"/>
    </xf>
    <xf numFmtId="0" fontId="29" fillId="0" borderId="16" xfId="0" quotePrefix="1" applyFont="1" applyBorder="1" applyAlignment="1">
      <alignment vertical="center"/>
    </xf>
    <xf numFmtId="0" fontId="29" fillId="0" borderId="15" xfId="0" applyFont="1" applyBorder="1" applyAlignment="1">
      <alignment vertical="center"/>
    </xf>
    <xf numFmtId="0" fontId="29" fillId="0" borderId="15" xfId="0" applyFont="1" applyBorder="1" applyAlignment="1">
      <alignment vertical="center" wrapText="1"/>
    </xf>
    <xf numFmtId="0" fontId="6" fillId="0" borderId="0" xfId="0" applyFont="1" applyAlignment="1">
      <alignment vertical="center"/>
    </xf>
    <xf numFmtId="0" fontId="29" fillId="20" borderId="16" xfId="0" quotePrefix="1" applyFont="1" applyFill="1" applyBorder="1" applyAlignment="1">
      <alignment vertical="center"/>
    </xf>
    <xf numFmtId="0" fontId="29" fillId="20" borderId="15" xfId="0" applyFont="1" applyFill="1" applyBorder="1" applyAlignment="1">
      <alignment vertical="center"/>
    </xf>
    <xf numFmtId="0" fontId="29" fillId="20" borderId="15" xfId="0" applyFont="1" applyFill="1" applyBorder="1" applyAlignment="1">
      <alignment horizontal="right" vertical="center"/>
    </xf>
    <xf numFmtId="4" fontId="29" fillId="20" borderId="15" xfId="0" applyNumberFormat="1" applyFont="1" applyFill="1" applyBorder="1" applyAlignment="1">
      <alignment vertical="center"/>
    </xf>
    <xf numFmtId="0" fontId="29" fillId="20" borderId="15" xfId="0" applyFont="1" applyFill="1" applyBorder="1" applyAlignment="1">
      <alignment vertical="center" wrapText="1"/>
    </xf>
    <xf numFmtId="0" fontId="29" fillId="20" borderId="16" xfId="0" quotePrefix="1" applyFont="1" applyFill="1" applyBorder="1" applyAlignment="1">
      <alignment vertical="center" wrapText="1"/>
    </xf>
    <xf numFmtId="2" fontId="29" fillId="20" borderId="15" xfId="0" applyNumberFormat="1" applyFont="1" applyFill="1" applyBorder="1" applyAlignment="1">
      <alignment vertical="center"/>
    </xf>
    <xf numFmtId="0" fontId="29" fillId="0" borderId="16" xfId="0" quotePrefix="1" applyFont="1" applyBorder="1" applyAlignment="1">
      <alignment vertical="center" wrapText="1"/>
    </xf>
    <xf numFmtId="2" fontId="29" fillId="0" borderId="15" xfId="0" applyNumberFormat="1" applyFont="1" applyBorder="1" applyAlignment="1">
      <alignment vertical="center"/>
    </xf>
    <xf numFmtId="0" fontId="50" fillId="37" borderId="10" xfId="0" applyFont="1" applyFill="1" applyBorder="1" applyAlignment="1">
      <alignment vertical="center"/>
    </xf>
    <xf numFmtId="0" fontId="29" fillId="0" borderId="10" xfId="0" quotePrefix="1" applyFont="1" applyBorder="1" applyAlignment="1">
      <alignment vertical="center"/>
    </xf>
    <xf numFmtId="0" fontId="29" fillId="0" borderId="10" xfId="0" applyFont="1" applyBorder="1" applyAlignment="1">
      <alignment vertical="center"/>
    </xf>
    <xf numFmtId="0" fontId="28" fillId="33" borderId="10" xfId="0" applyFont="1" applyFill="1" applyBorder="1" applyAlignment="1">
      <alignment vertical="center"/>
    </xf>
    <xf numFmtId="4" fontId="28" fillId="12" borderId="8" xfId="0" applyNumberFormat="1" applyFont="1" applyFill="1" applyBorder="1" applyAlignment="1">
      <alignment vertical="center"/>
    </xf>
    <xf numFmtId="4" fontId="28" fillId="12" borderId="10" xfId="0" applyNumberFormat="1" applyFont="1" applyFill="1" applyBorder="1" applyAlignment="1">
      <alignment vertical="center"/>
    </xf>
    <xf numFmtId="4" fontId="28" fillId="12" borderId="8" xfId="0" applyNumberFormat="1" applyFont="1" applyFill="1" applyBorder="1" applyAlignment="1">
      <alignment horizontal="right" vertical="center"/>
    </xf>
    <xf numFmtId="43" fontId="28" fillId="12" borderId="10" xfId="1" applyFont="1" applyFill="1" applyBorder="1" applyAlignment="1">
      <alignment vertical="center"/>
    </xf>
    <xf numFmtId="0" fontId="11" fillId="0" borderId="11" xfId="0" applyFont="1" applyBorder="1" applyAlignment="1">
      <alignment vertical="center"/>
    </xf>
    <xf numFmtId="164" fontId="0" fillId="0" borderId="0" xfId="0" applyNumberFormat="1" applyAlignment="1">
      <alignment vertical="center"/>
    </xf>
    <xf numFmtId="9" fontId="0" fillId="0" borderId="0" xfId="5" applyFont="1" applyFill="1" applyAlignment="1">
      <alignment horizontal="right" vertical="center"/>
    </xf>
    <xf numFmtId="0" fontId="0" fillId="0" borderId="0" xfId="0" applyAlignment="1">
      <alignment horizontal="right" vertical="center"/>
    </xf>
    <xf numFmtId="0" fontId="11" fillId="0" borderId="0" xfId="0" quotePrefix="1" applyFont="1" applyAlignment="1">
      <alignment horizontal="center" vertical="center"/>
    </xf>
    <xf numFmtId="0" fontId="4" fillId="0" borderId="0" xfId="0" applyFont="1" applyAlignment="1">
      <alignment vertical="center"/>
    </xf>
    <xf numFmtId="0" fontId="0" fillId="0" borderId="0" xfId="0" applyAlignment="1">
      <alignment vertical="center" wrapText="1"/>
    </xf>
    <xf numFmtId="9" fontId="11" fillId="0" borderId="13" xfId="0" applyNumberFormat="1" applyFont="1" applyBorder="1" applyAlignment="1">
      <alignment horizontal="right" vertical="center"/>
    </xf>
    <xf numFmtId="3" fontId="11" fillId="11" borderId="13" xfId="0" applyNumberFormat="1" applyFont="1" applyFill="1" applyBorder="1" applyAlignment="1">
      <alignment horizontal="right" vertical="center"/>
    </xf>
    <xf numFmtId="9" fontId="11" fillId="11" borderId="13" xfId="0" applyNumberFormat="1" applyFont="1" applyFill="1" applyBorder="1" applyAlignment="1">
      <alignment horizontal="right" vertical="center"/>
    </xf>
    <xf numFmtId="2" fontId="22" fillId="11" borderId="35" xfId="0" applyNumberFormat="1" applyFont="1" applyFill="1" applyBorder="1" applyAlignment="1">
      <alignment horizontal="right" vertical="center"/>
    </xf>
    <xf numFmtId="3" fontId="11" fillId="11" borderId="3" xfId="0" applyNumberFormat="1" applyFont="1" applyFill="1" applyBorder="1" applyAlignment="1">
      <alignment horizontal="right" vertical="center"/>
    </xf>
    <xf numFmtId="9" fontId="11" fillId="12" borderId="13" xfId="0" applyNumberFormat="1" applyFont="1" applyFill="1" applyBorder="1" applyAlignment="1">
      <alignment horizontal="right" vertical="center"/>
    </xf>
    <xf numFmtId="166" fontId="11" fillId="11" borderId="13" xfId="0" applyNumberFormat="1" applyFont="1" applyFill="1" applyBorder="1" applyAlignment="1">
      <alignment horizontal="right" vertical="center"/>
    </xf>
    <xf numFmtId="0" fontId="11" fillId="0" borderId="12" xfId="0" quotePrefix="1" applyFont="1" applyBorder="1" applyAlignment="1">
      <alignment vertical="center"/>
    </xf>
    <xf numFmtId="3" fontId="11" fillId="11" borderId="37" xfId="0" applyNumberFormat="1" applyFont="1" applyFill="1" applyBorder="1" applyAlignment="1">
      <alignment horizontal="right" vertical="center"/>
    </xf>
    <xf numFmtId="9" fontId="11" fillId="11" borderId="37" xfId="0" quotePrefix="1" applyNumberFormat="1" applyFont="1" applyFill="1" applyBorder="1" applyAlignment="1">
      <alignment horizontal="right" vertical="center"/>
    </xf>
    <xf numFmtId="2" fontId="22" fillId="11" borderId="38" xfId="0" applyNumberFormat="1" applyFont="1" applyFill="1" applyBorder="1" applyAlignment="1">
      <alignment horizontal="right" vertical="center"/>
    </xf>
    <xf numFmtId="3" fontId="11" fillId="11" borderId="39" xfId="0" applyNumberFormat="1" applyFont="1" applyFill="1" applyBorder="1" applyAlignment="1">
      <alignment horizontal="right" vertical="center"/>
    </xf>
    <xf numFmtId="9" fontId="11" fillId="12" borderId="37" xfId="0" applyNumberFormat="1" applyFont="1" applyFill="1" applyBorder="1" applyAlignment="1">
      <alignment horizontal="right" vertical="center"/>
    </xf>
    <xf numFmtId="166" fontId="11" fillId="11" borderId="37" xfId="0" applyNumberFormat="1" applyFont="1" applyFill="1" applyBorder="1" applyAlignment="1">
      <alignment horizontal="right" vertical="center"/>
    </xf>
    <xf numFmtId="3" fontId="17" fillId="11" borderId="55" xfId="0" applyNumberFormat="1" applyFont="1" applyFill="1" applyBorder="1" applyAlignment="1">
      <alignment horizontal="right" vertical="center"/>
    </xf>
    <xf numFmtId="9" fontId="17" fillId="11" borderId="55" xfId="0" quotePrefix="1" applyNumberFormat="1" applyFont="1" applyFill="1" applyBorder="1" applyAlignment="1">
      <alignment horizontal="right" vertical="center"/>
    </xf>
    <xf numFmtId="2" fontId="27" fillId="11" borderId="55" xfId="0" applyNumberFormat="1" applyFont="1" applyFill="1" applyBorder="1" applyAlignment="1">
      <alignment horizontal="right" vertical="center"/>
    </xf>
    <xf numFmtId="9" fontId="17" fillId="12" borderId="55" xfId="0" applyNumberFormat="1" applyFont="1" applyFill="1" applyBorder="1" applyAlignment="1">
      <alignment horizontal="right" vertical="center"/>
    </xf>
    <xf numFmtId="166" fontId="17" fillId="11" borderId="55" xfId="0" applyNumberFormat="1" applyFont="1" applyFill="1" applyBorder="1" applyAlignment="1">
      <alignment horizontal="right" vertical="center"/>
    </xf>
    <xf numFmtId="0" fontId="4" fillId="0" borderId="0" xfId="0" applyFont="1" applyAlignment="1">
      <alignment horizontal="right" vertical="center"/>
    </xf>
    <xf numFmtId="166" fontId="11" fillId="12" borderId="3" xfId="0" applyNumberFormat="1" applyFont="1" applyFill="1" applyBorder="1" applyAlignment="1">
      <alignment horizontal="right" vertical="center"/>
    </xf>
    <xf numFmtId="166" fontId="11" fillId="12" borderId="13" xfId="0" quotePrefix="1" applyNumberFormat="1" applyFont="1" applyFill="1" applyBorder="1" applyAlignment="1">
      <alignment horizontal="right" vertical="center"/>
    </xf>
    <xf numFmtId="0" fontId="11" fillId="0" borderId="42" xfId="0" quotePrefix="1" applyFont="1" applyBorder="1" applyAlignment="1">
      <alignment horizontal="right" vertical="center"/>
    </xf>
    <xf numFmtId="0" fontId="11" fillId="12" borderId="2" xfId="3" quotePrefix="1" applyFont="1" applyFill="1" applyBorder="1" applyAlignment="1">
      <alignment vertical="center"/>
    </xf>
    <xf numFmtId="166" fontId="11" fillId="12" borderId="16" xfId="3" applyNumberFormat="1" applyFont="1" applyFill="1" applyBorder="1" applyAlignment="1">
      <alignment horizontal="right" vertical="center"/>
    </xf>
    <xf numFmtId="9" fontId="22" fillId="12" borderId="16" xfId="0" applyNumberFormat="1" applyFont="1" applyFill="1" applyBorder="1" applyAlignment="1">
      <alignment horizontal="right" vertical="center"/>
    </xf>
    <xf numFmtId="166" fontId="11" fillId="12" borderId="16" xfId="3" quotePrefix="1" applyNumberFormat="1" applyFont="1" applyFill="1" applyBorder="1" applyAlignment="1">
      <alignment horizontal="right" vertical="center"/>
    </xf>
    <xf numFmtId="166" fontId="11" fillId="12" borderId="17" xfId="3" applyNumberFormat="1" applyFont="1" applyFill="1" applyBorder="1" applyAlignment="1">
      <alignment horizontal="right" vertical="center"/>
    </xf>
    <xf numFmtId="0" fontId="11" fillId="0" borderId="42" xfId="3" quotePrefix="1" applyFont="1" applyFill="1" applyBorder="1" applyAlignment="1">
      <alignment horizontal="right" vertical="center"/>
    </xf>
    <xf numFmtId="165" fontId="27" fillId="0" borderId="13" xfId="0" applyNumberFormat="1" applyFont="1" applyBorder="1" applyAlignment="1">
      <alignment horizontal="right" vertical="center"/>
    </xf>
    <xf numFmtId="166" fontId="27" fillId="0" borderId="0" xfId="0" applyNumberFormat="1" applyFont="1" applyAlignment="1">
      <alignment horizontal="right" vertical="center"/>
    </xf>
    <xf numFmtId="9" fontId="22" fillId="20" borderId="12" xfId="0" applyNumberFormat="1" applyFont="1" applyFill="1" applyBorder="1" applyAlignment="1">
      <alignment horizontal="right" vertical="center"/>
    </xf>
    <xf numFmtId="0" fontId="11" fillId="0" borderId="2" xfId="3" quotePrefix="1" applyFont="1" applyFill="1" applyBorder="1" applyAlignment="1">
      <alignment vertical="center"/>
    </xf>
    <xf numFmtId="165" fontId="22" fillId="0" borderId="16" xfId="0" applyNumberFormat="1" applyFont="1" applyBorder="1" applyAlignment="1">
      <alignment horizontal="right" vertical="center"/>
    </xf>
    <xf numFmtId="9" fontId="22" fillId="0" borderId="16" xfId="0" applyNumberFormat="1" applyFont="1" applyBorder="1" applyAlignment="1">
      <alignment horizontal="right" vertical="center"/>
    </xf>
    <xf numFmtId="165" fontId="11" fillId="0" borderId="17" xfId="3" applyNumberFormat="1" applyFont="1" applyFill="1" applyBorder="1" applyAlignment="1">
      <alignment horizontal="right" vertical="center"/>
    </xf>
    <xf numFmtId="166" fontId="22" fillId="12" borderId="16" xfId="0" applyNumberFormat="1" applyFont="1" applyFill="1" applyBorder="1" applyAlignment="1">
      <alignment horizontal="right" vertical="center"/>
    </xf>
    <xf numFmtId="165" fontId="22" fillId="12" borderId="16" xfId="0" applyNumberFormat="1" applyFont="1" applyFill="1" applyBorder="1" applyAlignment="1">
      <alignment horizontal="right" vertical="center"/>
    </xf>
    <xf numFmtId="0" fontId="28" fillId="24" borderId="8" xfId="0" applyFont="1" applyFill="1" applyBorder="1" applyAlignment="1">
      <alignment vertical="center" wrapText="1"/>
    </xf>
    <xf numFmtId="0" fontId="28" fillId="24" borderId="10" xfId="0" applyFont="1" applyFill="1" applyBorder="1" applyAlignment="1">
      <alignment vertical="center" wrapText="1"/>
    </xf>
    <xf numFmtId="3" fontId="28" fillId="25" borderId="8" xfId="0" applyNumberFormat="1" applyFont="1" applyFill="1" applyBorder="1" applyAlignment="1">
      <alignment vertical="center" wrapText="1"/>
    </xf>
    <xf numFmtId="165" fontId="28" fillId="25" borderId="9" xfId="0" applyNumberFormat="1" applyFont="1" applyFill="1" applyBorder="1" applyAlignment="1">
      <alignment vertical="center" wrapText="1"/>
    </xf>
    <xf numFmtId="0" fontId="28" fillId="21" borderId="14" xfId="0" applyFont="1" applyFill="1" applyBorder="1" applyAlignment="1">
      <alignment vertical="center" wrapText="1"/>
    </xf>
    <xf numFmtId="0" fontId="52" fillId="0" borderId="10" xfId="0" applyFont="1" applyBorder="1" applyAlignment="1">
      <alignment vertical="center" wrapText="1"/>
    </xf>
    <xf numFmtId="3" fontId="29" fillId="0" borderId="14" xfId="0" applyNumberFormat="1" applyFont="1" applyBorder="1" applyAlignment="1">
      <alignment vertical="center" wrapText="1"/>
    </xf>
    <xf numFmtId="0" fontId="28" fillId="26" borderId="14" xfId="0" applyFont="1" applyFill="1" applyBorder="1" applyAlignment="1">
      <alignment vertical="center" wrapText="1"/>
    </xf>
    <xf numFmtId="0" fontId="29" fillId="20" borderId="3" xfId="0" applyFont="1" applyFill="1" applyBorder="1" applyAlignment="1">
      <alignment vertical="center"/>
    </xf>
    <xf numFmtId="3" fontId="29" fillId="38" borderId="14" xfId="0" applyNumberFormat="1" applyFont="1" applyFill="1" applyBorder="1" applyAlignment="1">
      <alignment vertical="center" wrapText="1"/>
    </xf>
    <xf numFmtId="3" fontId="29" fillId="38" borderId="14" xfId="0" applyNumberFormat="1" applyFont="1" applyFill="1" applyBorder="1" applyAlignment="1">
      <alignment vertical="center"/>
    </xf>
    <xf numFmtId="4" fontId="29" fillId="38" borderId="27" xfId="0" applyNumberFormat="1" applyFont="1" applyFill="1" applyBorder="1" applyAlignment="1">
      <alignment vertical="center"/>
    </xf>
    <xf numFmtId="165" fontId="29" fillId="38" borderId="11" xfId="0" applyNumberFormat="1" applyFont="1" applyFill="1" applyBorder="1" applyAlignment="1">
      <alignment vertical="center"/>
    </xf>
    <xf numFmtId="0" fontId="29" fillId="0" borderId="14" xfId="0" applyFont="1" applyBorder="1" applyAlignment="1">
      <alignment vertical="center"/>
    </xf>
    <xf numFmtId="3" fontId="29" fillId="0" borderId="14" xfId="0" applyNumberFormat="1" applyFont="1" applyBorder="1" applyAlignment="1">
      <alignment vertical="center"/>
    </xf>
    <xf numFmtId="4" fontId="29" fillId="0" borderId="27" xfId="0" applyNumberFormat="1" applyFont="1" applyBorder="1" applyAlignment="1">
      <alignment vertical="center"/>
    </xf>
    <xf numFmtId="165" fontId="29" fillId="0" borderId="11" xfId="0" applyNumberFormat="1" applyFont="1" applyBorder="1" applyAlignment="1">
      <alignment vertical="center"/>
    </xf>
    <xf numFmtId="0" fontId="29" fillId="20" borderId="14" xfId="0" applyFont="1" applyFill="1" applyBorder="1" applyAlignment="1">
      <alignment vertical="center"/>
    </xf>
    <xf numFmtId="0" fontId="29" fillId="38" borderId="14" xfId="0" applyFont="1" applyFill="1" applyBorder="1" applyAlignment="1">
      <alignment vertical="center"/>
    </xf>
    <xf numFmtId="3" fontId="29" fillId="38" borderId="10" xfId="0" applyNumberFormat="1" applyFont="1" applyFill="1" applyBorder="1" applyAlignment="1">
      <alignment vertical="center" wrapText="1"/>
    </xf>
    <xf numFmtId="0" fontId="29" fillId="38" borderId="6" xfId="0" applyFont="1" applyFill="1" applyBorder="1" applyAlignment="1">
      <alignment vertical="center"/>
    </xf>
    <xf numFmtId="0" fontId="29" fillId="38" borderId="27" xfId="0" applyFont="1" applyFill="1" applyBorder="1" applyAlignment="1">
      <alignment vertical="center"/>
    </xf>
    <xf numFmtId="0" fontId="29" fillId="38" borderId="11" xfId="0" applyFont="1" applyFill="1" applyBorder="1" applyAlignment="1">
      <alignment vertical="center"/>
    </xf>
    <xf numFmtId="0" fontId="29" fillId="0" borderId="10" xfId="0" applyFont="1" applyBorder="1" applyAlignment="1">
      <alignment vertical="center" wrapText="1"/>
    </xf>
    <xf numFmtId="3" fontId="29" fillId="0" borderId="3" xfId="0" applyNumberFormat="1" applyFont="1" applyBorder="1" applyAlignment="1">
      <alignment vertical="center" wrapText="1"/>
    </xf>
    <xf numFmtId="0" fontId="29" fillId="21" borderId="14" xfId="0" applyFont="1" applyFill="1" applyBorder="1" applyAlignment="1">
      <alignment vertical="center" wrapText="1"/>
    </xf>
    <xf numFmtId="0" fontId="29" fillId="21" borderId="27" xfId="0" applyFont="1" applyFill="1" applyBorder="1" applyAlignment="1">
      <alignment vertical="center"/>
    </xf>
    <xf numFmtId="0" fontId="29" fillId="0" borderId="9" xfId="0" applyFont="1" applyBorder="1" applyAlignment="1">
      <alignment vertical="center"/>
    </xf>
    <xf numFmtId="0" fontId="28" fillId="21" borderId="8" xfId="0" applyFont="1" applyFill="1" applyBorder="1" applyAlignment="1">
      <alignment vertical="center" wrapText="1"/>
    </xf>
    <xf numFmtId="0" fontId="29" fillId="20" borderId="16" xfId="0" applyFont="1" applyFill="1" applyBorder="1" applyAlignment="1">
      <alignment vertical="center" wrapText="1"/>
    </xf>
    <xf numFmtId="3" fontId="29" fillId="38" borderId="8" xfId="0" applyNumberFormat="1" applyFont="1" applyFill="1" applyBorder="1" applyAlignment="1">
      <alignment vertical="center" wrapText="1"/>
    </xf>
    <xf numFmtId="0" fontId="29" fillId="12" borderId="15" xfId="0" applyFont="1" applyFill="1" applyBorder="1" applyAlignment="1">
      <alignment vertical="center"/>
    </xf>
    <xf numFmtId="0" fontId="28" fillId="27" borderId="8" xfId="0" applyFont="1" applyFill="1" applyBorder="1" applyAlignment="1">
      <alignment vertical="center" wrapText="1"/>
    </xf>
    <xf numFmtId="0" fontId="28" fillId="27" borderId="8" xfId="0" applyFont="1" applyFill="1" applyBorder="1" applyAlignment="1">
      <alignment vertical="center"/>
    </xf>
    <xf numFmtId="0" fontId="28" fillId="27" borderId="10" xfId="0" applyFont="1" applyFill="1" applyBorder="1" applyAlignment="1">
      <alignment vertical="center" wrapText="1"/>
    </xf>
    <xf numFmtId="0" fontId="28" fillId="27" borderId="9" xfId="0" applyFont="1" applyFill="1" applyBorder="1" applyAlignment="1">
      <alignment vertical="center" wrapText="1"/>
    </xf>
    <xf numFmtId="0" fontId="29" fillId="25" borderId="77" xfId="0" applyFont="1" applyFill="1" applyBorder="1" applyAlignment="1">
      <alignment vertical="center" wrapText="1"/>
    </xf>
    <xf numFmtId="0" fontId="30" fillId="25" borderId="16" xfId="0" applyFont="1" applyFill="1" applyBorder="1" applyAlignment="1">
      <alignment vertical="center" wrapText="1"/>
    </xf>
    <xf numFmtId="3" fontId="28" fillId="25" borderId="3" xfId="0" applyNumberFormat="1" applyFont="1" applyFill="1" applyBorder="1" applyAlignment="1">
      <alignment vertical="center" wrapText="1"/>
    </xf>
    <xf numFmtId="0" fontId="28" fillId="25" borderId="15" xfId="0" applyFont="1" applyFill="1" applyBorder="1" applyAlignment="1">
      <alignment vertical="center" wrapText="1"/>
    </xf>
    <xf numFmtId="0" fontId="29" fillId="26" borderId="28" xfId="0" applyFont="1" applyFill="1" applyBorder="1" applyAlignment="1">
      <alignment vertical="center" wrapText="1"/>
    </xf>
    <xf numFmtId="0" fontId="52" fillId="0" borderId="16" xfId="0" applyFont="1" applyBorder="1" applyAlignment="1">
      <alignment vertical="center" wrapText="1"/>
    </xf>
    <xf numFmtId="0" fontId="29" fillId="26" borderId="14" xfId="0" applyFont="1" applyFill="1" applyBorder="1" applyAlignment="1">
      <alignment vertical="center" wrapText="1"/>
    </xf>
    <xf numFmtId="0" fontId="29" fillId="21" borderId="28" xfId="0" applyFont="1" applyFill="1" applyBorder="1" applyAlignment="1">
      <alignment vertical="center" wrapText="1"/>
    </xf>
    <xf numFmtId="3" fontId="29" fillId="20" borderId="14" xfId="0" applyNumberFormat="1" applyFont="1" applyFill="1" applyBorder="1" applyAlignment="1">
      <alignment vertical="center" wrapText="1"/>
    </xf>
    <xf numFmtId="0" fontId="29" fillId="38" borderId="15" xfId="0" applyFont="1" applyFill="1" applyBorder="1" applyAlignment="1">
      <alignment vertical="center"/>
    </xf>
    <xf numFmtId="3" fontId="29" fillId="20" borderId="14" xfId="0" applyNumberFormat="1" applyFont="1" applyFill="1" applyBorder="1" applyAlignment="1">
      <alignment vertical="center"/>
    </xf>
    <xf numFmtId="3" fontId="29" fillId="0" borderId="10" xfId="0" applyNumberFormat="1" applyFont="1" applyBorder="1" applyAlignment="1">
      <alignment vertical="center" wrapText="1"/>
    </xf>
    <xf numFmtId="0" fontId="29" fillId="0" borderId="6" xfId="0" applyFont="1" applyBorder="1" applyAlignment="1">
      <alignment vertical="center"/>
    </xf>
    <xf numFmtId="3" fontId="29" fillId="20" borderId="16" xfId="0" applyNumberFormat="1" applyFont="1" applyFill="1" applyBorder="1" applyAlignment="1">
      <alignment vertical="center" wrapText="1"/>
    </xf>
    <xf numFmtId="0" fontId="29" fillId="20" borderId="6" xfId="0" applyFont="1" applyFill="1" applyBorder="1" applyAlignment="1">
      <alignment vertical="center" wrapText="1"/>
    </xf>
    <xf numFmtId="0" fontId="29" fillId="20" borderId="14" xfId="0" applyFont="1" applyFill="1" applyBorder="1" applyAlignment="1">
      <alignment vertical="center" wrapText="1"/>
    </xf>
    <xf numFmtId="3" fontId="29" fillId="0" borderId="16" xfId="0" applyNumberFormat="1" applyFont="1" applyBorder="1" applyAlignment="1">
      <alignment vertical="center" wrapText="1"/>
    </xf>
    <xf numFmtId="0" fontId="29" fillId="26" borderId="6" xfId="0" applyFont="1" applyFill="1" applyBorder="1" applyAlignment="1">
      <alignment vertical="center" wrapText="1"/>
    </xf>
    <xf numFmtId="0" fontId="29" fillId="20" borderId="13" xfId="0" applyFont="1" applyFill="1" applyBorder="1" applyAlignment="1">
      <alignment vertical="center" wrapText="1"/>
    </xf>
    <xf numFmtId="3" fontId="29" fillId="20" borderId="3" xfId="0" applyNumberFormat="1" applyFont="1" applyFill="1" applyBorder="1" applyAlignment="1">
      <alignment vertical="center" wrapText="1"/>
    </xf>
    <xf numFmtId="0" fontId="29" fillId="12" borderId="12" xfId="0" applyFont="1" applyFill="1" applyBorder="1" applyAlignment="1">
      <alignment vertical="center"/>
    </xf>
    <xf numFmtId="0" fontId="29" fillId="27" borderId="8" xfId="0" applyFont="1" applyFill="1" applyBorder="1" applyAlignment="1">
      <alignment vertical="center" wrapText="1"/>
    </xf>
    <xf numFmtId="0" fontId="29" fillId="27" borderId="8" xfId="0" applyFont="1" applyFill="1" applyBorder="1" applyAlignment="1">
      <alignment vertical="center"/>
    </xf>
    <xf numFmtId="0" fontId="29" fillId="20" borderId="3" xfId="0" applyFont="1" applyFill="1" applyBorder="1" applyAlignment="1">
      <alignment vertical="center" wrapText="1"/>
    </xf>
    <xf numFmtId="0" fontId="29" fillId="28" borderId="9" xfId="0" applyFont="1" applyFill="1" applyBorder="1" applyAlignment="1">
      <alignment vertical="center"/>
    </xf>
    <xf numFmtId="0" fontId="28" fillId="25" borderId="16" xfId="0" applyFont="1" applyFill="1" applyBorder="1" applyAlignment="1">
      <alignment vertical="center" wrapText="1"/>
    </xf>
    <xf numFmtId="0" fontId="29" fillId="0" borderId="16" xfId="0" applyFont="1" applyBorder="1" applyAlignment="1">
      <alignment vertical="center"/>
    </xf>
    <xf numFmtId="0" fontId="29" fillId="38" borderId="16" xfId="0" applyFont="1" applyFill="1" applyBorder="1" applyAlignment="1">
      <alignment vertical="center"/>
    </xf>
    <xf numFmtId="0" fontId="29" fillId="12" borderId="16" xfId="0" applyFont="1" applyFill="1" applyBorder="1" applyAlignment="1">
      <alignment vertical="center"/>
    </xf>
    <xf numFmtId="0" fontId="29" fillId="0" borderId="27" xfId="0" applyFont="1" applyBorder="1" applyAlignment="1">
      <alignment vertical="center" wrapText="1"/>
    </xf>
    <xf numFmtId="3" fontId="29" fillId="0" borderId="27" xfId="0" applyNumberFormat="1" applyFont="1" applyBorder="1" applyAlignment="1">
      <alignment vertical="center" wrapText="1"/>
    </xf>
    <xf numFmtId="0" fontId="29" fillId="21" borderId="8" xfId="0" applyFont="1" applyFill="1" applyBorder="1" applyAlignment="1">
      <alignment vertical="center" wrapText="1"/>
    </xf>
    <xf numFmtId="0" fontId="29" fillId="20" borderId="10" xfId="0" applyFont="1" applyFill="1" applyBorder="1" applyAlignment="1">
      <alignment vertical="center" wrapText="1"/>
    </xf>
    <xf numFmtId="3" fontId="29" fillId="20" borderId="8" xfId="0" applyNumberFormat="1" applyFont="1" applyFill="1" applyBorder="1" applyAlignment="1">
      <alignment vertical="center" wrapText="1"/>
    </xf>
    <xf numFmtId="0" fontId="28" fillId="24" borderId="14" xfId="0" applyFont="1" applyFill="1" applyBorder="1" applyAlignment="1">
      <alignment vertical="center" wrapText="1"/>
    </xf>
    <xf numFmtId="3" fontId="28" fillId="25" borderId="14" xfId="0" applyNumberFormat="1" applyFont="1" applyFill="1" applyBorder="1" applyAlignment="1">
      <alignment vertical="center" wrapText="1"/>
    </xf>
    <xf numFmtId="0" fontId="28" fillId="24" borderId="10" xfId="0" applyFont="1" applyFill="1" applyBorder="1" applyAlignment="1">
      <alignment vertical="center"/>
    </xf>
    <xf numFmtId="4" fontId="29" fillId="0" borderId="14" xfId="0" applyNumberFormat="1" applyFont="1" applyBorder="1" applyAlignment="1">
      <alignment vertical="center"/>
    </xf>
    <xf numFmtId="0" fontId="29" fillId="12" borderId="13" xfId="0" applyFont="1" applyFill="1" applyBorder="1" applyAlignment="1">
      <alignment vertical="center"/>
    </xf>
    <xf numFmtId="0" fontId="29" fillId="25" borderId="3" xfId="0" applyFont="1" applyFill="1" applyBorder="1" applyAlignment="1">
      <alignment vertical="center" wrapText="1"/>
    </xf>
    <xf numFmtId="0" fontId="29" fillId="0" borderId="16" xfId="0" applyFont="1" applyBorder="1" applyAlignment="1">
      <alignment vertical="center" wrapText="1"/>
    </xf>
    <xf numFmtId="0" fontId="29" fillId="28" borderId="10" xfId="0" applyFont="1" applyFill="1" applyBorder="1" applyAlignment="1">
      <alignment vertical="center"/>
    </xf>
    <xf numFmtId="3" fontId="29" fillId="20" borderId="17" xfId="0" applyNumberFormat="1" applyFont="1" applyFill="1" applyBorder="1" applyAlignment="1">
      <alignment vertical="center" wrapText="1"/>
    </xf>
    <xf numFmtId="0" fontId="28" fillId="25" borderId="16" xfId="0" applyFont="1" applyFill="1" applyBorder="1" applyAlignment="1">
      <alignment horizontal="right" vertical="center" wrapText="1"/>
    </xf>
    <xf numFmtId="0" fontId="29" fillId="0" borderId="13" xfId="0" applyFont="1" applyBorder="1" applyAlignment="1">
      <alignment horizontal="right" vertical="center"/>
    </xf>
    <xf numFmtId="0" fontId="28" fillId="20" borderId="16" xfId="0" applyFont="1" applyFill="1" applyBorder="1" applyAlignment="1">
      <alignment vertical="center" wrapText="1"/>
    </xf>
    <xf numFmtId="0" fontId="28" fillId="20" borderId="15" xfId="0" applyFont="1" applyFill="1" applyBorder="1" applyAlignment="1">
      <alignment vertical="center" wrapText="1"/>
    </xf>
    <xf numFmtId="0" fontId="27" fillId="30" borderId="10" xfId="0" applyFont="1" applyFill="1" applyBorder="1" applyAlignment="1">
      <alignment vertical="center"/>
    </xf>
    <xf numFmtId="0" fontId="49" fillId="0" borderId="10" xfId="0" applyFont="1" applyBorder="1" applyAlignment="1">
      <alignment vertical="center"/>
    </xf>
    <xf numFmtId="0" fontId="30" fillId="29" borderId="2" xfId="0" applyFont="1" applyFill="1" applyBorder="1" applyAlignment="1">
      <alignment vertical="center" wrapText="1" readingOrder="1"/>
    </xf>
    <xf numFmtId="0" fontId="28" fillId="30" borderId="10" xfId="0" applyFont="1" applyFill="1" applyBorder="1" applyAlignment="1">
      <alignment vertical="center"/>
    </xf>
    <xf numFmtId="0" fontId="28" fillId="30" borderId="9" xfId="0" applyFont="1" applyFill="1" applyBorder="1" applyAlignment="1">
      <alignment vertical="center"/>
    </xf>
    <xf numFmtId="0" fontId="28" fillId="30" borderId="7" xfId="0" applyFont="1" applyFill="1" applyBorder="1" applyAlignment="1">
      <alignment horizontal="center" vertical="center"/>
    </xf>
    <xf numFmtId="0" fontId="28" fillId="30" borderId="9" xfId="0" applyFont="1" applyFill="1" applyBorder="1" applyAlignment="1">
      <alignment horizontal="center" vertical="center"/>
    </xf>
    <xf numFmtId="0" fontId="50" fillId="0" borderId="0" xfId="0" applyFont="1" applyAlignment="1">
      <alignment vertical="center"/>
    </xf>
    <xf numFmtId="0" fontId="28" fillId="30" borderId="51" xfId="0" applyFont="1" applyFill="1" applyBorder="1" applyAlignment="1">
      <alignment vertical="center"/>
    </xf>
    <xf numFmtId="0" fontId="28" fillId="30" borderId="82" xfId="0" applyFont="1" applyFill="1" applyBorder="1" applyAlignment="1">
      <alignment vertical="center"/>
    </xf>
    <xf numFmtId="0" fontId="28" fillId="30" borderId="41" xfId="0" applyFont="1" applyFill="1" applyBorder="1" applyAlignment="1">
      <alignment horizontal="center" vertical="center" wrapText="1"/>
    </xf>
    <xf numFmtId="0" fontId="28" fillId="30" borderId="83" xfId="0" applyFont="1" applyFill="1" applyBorder="1" applyAlignment="1">
      <alignment horizontal="center" vertical="center" wrapText="1"/>
    </xf>
    <xf numFmtId="0" fontId="50" fillId="0" borderId="42" xfId="0" applyFont="1" applyBorder="1" applyAlignment="1">
      <alignment vertical="center"/>
    </xf>
    <xf numFmtId="0" fontId="29" fillId="21" borderId="15" xfId="0" applyFont="1" applyFill="1" applyBorder="1" applyAlignment="1">
      <alignment vertical="center" wrapText="1"/>
    </xf>
    <xf numFmtId="0" fontId="29" fillId="21" borderId="2" xfId="0" applyFont="1" applyFill="1" applyBorder="1" applyAlignment="1">
      <alignment vertical="center" wrapText="1"/>
    </xf>
    <xf numFmtId="0" fontId="6" fillId="0" borderId="42" xfId="0" applyFont="1" applyBorder="1" applyAlignment="1">
      <alignment vertical="center"/>
    </xf>
    <xf numFmtId="4" fontId="28" fillId="20" borderId="15" xfId="0" applyNumberFormat="1" applyFont="1" applyFill="1" applyBorder="1" applyAlignment="1">
      <alignment vertical="center"/>
    </xf>
    <xf numFmtId="4" fontId="28" fillId="20" borderId="15" xfId="0" applyNumberFormat="1" applyFont="1" applyFill="1" applyBorder="1" applyAlignment="1">
      <alignment vertical="center" wrapText="1" readingOrder="1"/>
    </xf>
    <xf numFmtId="0" fontId="28" fillId="20" borderId="15" xfId="0" applyFont="1" applyFill="1" applyBorder="1" applyAlignment="1">
      <alignment vertical="center" wrapText="1" readingOrder="1"/>
    </xf>
    <xf numFmtId="0" fontId="28" fillId="20" borderId="15" xfId="0" applyFont="1" applyFill="1" applyBorder="1" applyAlignment="1">
      <alignment vertical="center"/>
    </xf>
    <xf numFmtId="4" fontId="28" fillId="20" borderId="15" xfId="0" applyNumberFormat="1" applyFont="1" applyFill="1" applyBorder="1" applyAlignment="1">
      <alignment vertical="center" wrapText="1"/>
    </xf>
    <xf numFmtId="0" fontId="28" fillId="20" borderId="16" xfId="0" applyFont="1" applyFill="1" applyBorder="1" applyAlignment="1">
      <alignment vertical="center"/>
    </xf>
    <xf numFmtId="2" fontId="28" fillId="20" borderId="15" xfId="0" applyNumberFormat="1" applyFont="1" applyFill="1" applyBorder="1" applyAlignment="1">
      <alignment vertical="center"/>
    </xf>
    <xf numFmtId="0" fontId="29" fillId="0" borderId="15" xfId="0" quotePrefix="1" applyFont="1" applyBorder="1" applyAlignment="1">
      <alignment vertical="center"/>
    </xf>
    <xf numFmtId="0" fontId="28" fillId="0" borderId="16" xfId="0" applyFont="1" applyBorder="1" applyAlignment="1">
      <alignment vertical="center"/>
    </xf>
    <xf numFmtId="0" fontId="28" fillId="0" borderId="15" xfId="0" applyFont="1" applyBorder="1" applyAlignment="1">
      <alignment vertical="center"/>
    </xf>
    <xf numFmtId="4" fontId="28" fillId="0" borderId="15" xfId="0" applyNumberFormat="1" applyFont="1" applyBorder="1" applyAlignment="1">
      <alignment vertical="center"/>
    </xf>
    <xf numFmtId="0" fontId="28" fillId="0" borderId="16" xfId="0" applyFont="1" applyBorder="1" applyAlignment="1">
      <alignment vertical="center" wrapText="1"/>
    </xf>
    <xf numFmtId="2" fontId="28" fillId="0" borderId="15" xfId="0" applyNumberFormat="1" applyFont="1" applyBorder="1" applyAlignment="1">
      <alignment vertical="center"/>
    </xf>
    <xf numFmtId="0" fontId="29" fillId="21" borderId="15" xfId="0" applyFont="1" applyFill="1" applyBorder="1" applyAlignment="1">
      <alignment vertical="center"/>
    </xf>
    <xf numFmtId="0" fontId="29" fillId="31" borderId="16" xfId="0" applyFont="1" applyFill="1" applyBorder="1" applyAlignment="1">
      <alignment vertical="center"/>
    </xf>
    <xf numFmtId="0" fontId="29" fillId="31" borderId="15" xfId="0" applyFont="1" applyFill="1" applyBorder="1" applyAlignment="1">
      <alignment vertical="center"/>
    </xf>
    <xf numFmtId="0" fontId="29" fillId="31" borderId="15" xfId="0" applyFont="1" applyFill="1" applyBorder="1" applyAlignment="1">
      <alignment vertical="center" wrapText="1"/>
    </xf>
    <xf numFmtId="0" fontId="49" fillId="31" borderId="16" xfId="0" applyFont="1" applyFill="1" applyBorder="1" applyAlignment="1">
      <alignment vertical="center"/>
    </xf>
    <xf numFmtId="0" fontId="49" fillId="31" borderId="15" xfId="0" applyFont="1" applyFill="1" applyBorder="1" applyAlignment="1">
      <alignment vertical="center"/>
    </xf>
    <xf numFmtId="0" fontId="49" fillId="0" borderId="16" xfId="0" applyFont="1" applyBorder="1" applyAlignment="1">
      <alignment vertical="center"/>
    </xf>
    <xf numFmtId="4" fontId="29" fillId="31" borderId="15" xfId="0" applyNumberFormat="1" applyFont="1" applyFill="1" applyBorder="1" applyAlignment="1">
      <alignment vertical="center"/>
    </xf>
    <xf numFmtId="3" fontId="29" fillId="31" borderId="15" xfId="0" applyNumberFormat="1" applyFont="1" applyFill="1" applyBorder="1" applyAlignment="1">
      <alignment vertical="center"/>
    </xf>
    <xf numFmtId="4" fontId="29" fillId="0" borderId="15" xfId="0" applyNumberFormat="1" applyFont="1" applyBorder="1" applyAlignment="1">
      <alignment vertical="center"/>
    </xf>
    <xf numFmtId="0" fontId="29" fillId="31" borderId="16" xfId="0" quotePrefix="1" applyFont="1" applyFill="1" applyBorder="1" applyAlignment="1">
      <alignment vertical="center"/>
    </xf>
    <xf numFmtId="0" fontId="29" fillId="0" borderId="0" xfId="0" applyFont="1" applyAlignment="1">
      <alignment vertical="center"/>
    </xf>
    <xf numFmtId="0" fontId="29" fillId="23" borderId="15" xfId="0" applyFont="1" applyFill="1" applyBorder="1" applyAlignment="1">
      <alignment vertical="center" wrapText="1"/>
    </xf>
    <xf numFmtId="9" fontId="45" fillId="12" borderId="45" xfId="0" applyNumberFormat="1" applyFont="1" applyFill="1" applyBorder="1" applyAlignment="1">
      <alignment horizontal="right" vertical="center"/>
    </xf>
    <xf numFmtId="166" fontId="45" fillId="12" borderId="45" xfId="0" applyNumberFormat="1" applyFont="1" applyFill="1" applyBorder="1" applyAlignment="1">
      <alignment horizontal="right" vertical="center"/>
    </xf>
    <xf numFmtId="0" fontId="39" fillId="0" borderId="0" xfId="0" applyFont="1" applyAlignment="1">
      <alignment vertical="center"/>
    </xf>
    <xf numFmtId="0" fontId="22" fillId="0" borderId="0" xfId="0" applyFont="1" applyAlignment="1">
      <alignment vertical="center"/>
    </xf>
    <xf numFmtId="9" fontId="33" fillId="0" borderId="45" xfId="0" applyNumberFormat="1" applyFont="1" applyBorder="1" applyAlignment="1">
      <alignment horizontal="right" vertical="center"/>
    </xf>
    <xf numFmtId="0" fontId="22" fillId="12" borderId="0" xfId="0" applyFont="1" applyFill="1" applyAlignment="1">
      <alignment vertical="center"/>
    </xf>
    <xf numFmtId="9" fontId="33" fillId="12" borderId="45" xfId="0" applyNumberFormat="1" applyFont="1" applyFill="1" applyBorder="1" applyAlignment="1">
      <alignment horizontal="right" vertical="center"/>
    </xf>
    <xf numFmtId="9" fontId="33" fillId="12" borderId="0" xfId="0" applyNumberFormat="1" applyFont="1" applyFill="1" applyAlignment="1">
      <alignment horizontal="right" vertical="center"/>
    </xf>
    <xf numFmtId="166" fontId="33" fillId="12" borderId="12" xfId="0" applyNumberFormat="1" applyFont="1" applyFill="1" applyBorder="1" applyAlignment="1">
      <alignment horizontal="right" vertical="center"/>
    </xf>
    <xf numFmtId="0" fontId="11" fillId="12" borderId="0" xfId="0" applyFont="1" applyFill="1" applyAlignment="1">
      <alignment vertical="center"/>
    </xf>
    <xf numFmtId="9" fontId="29" fillId="12" borderId="0" xfId="0" applyNumberFormat="1" applyFont="1" applyFill="1" applyAlignment="1">
      <alignment horizontal="right" vertical="center"/>
    </xf>
    <xf numFmtId="166" fontId="29" fillId="12" borderId="12" xfId="0" applyNumberFormat="1" applyFont="1" applyFill="1" applyBorder="1" applyAlignment="1">
      <alignment horizontal="right" vertical="center"/>
    </xf>
    <xf numFmtId="0" fontId="33" fillId="12" borderId="45" xfId="0" applyFont="1" applyFill="1" applyBorder="1" applyAlignment="1">
      <alignment horizontal="right" vertical="center"/>
    </xf>
    <xf numFmtId="0" fontId="33" fillId="12" borderId="0" xfId="0" applyFont="1" applyFill="1" applyAlignment="1">
      <alignment horizontal="right" vertical="center"/>
    </xf>
    <xf numFmtId="0" fontId="33" fillId="12" borderId="12" xfId="0" applyFont="1" applyFill="1" applyBorder="1" applyAlignment="1">
      <alignment horizontal="right" vertical="center"/>
    </xf>
    <xf numFmtId="9" fontId="28" fillId="0" borderId="45" xfId="0" applyNumberFormat="1" applyFont="1" applyBorder="1" applyAlignment="1">
      <alignment horizontal="right" vertical="center"/>
    </xf>
    <xf numFmtId="9" fontId="28" fillId="0" borderId="0" xfId="0" applyNumberFormat="1" applyFont="1" applyAlignment="1">
      <alignment horizontal="right" vertical="center"/>
    </xf>
    <xf numFmtId="0" fontId="28" fillId="0" borderId="12" xfId="0" applyFont="1" applyBorder="1" applyAlignment="1">
      <alignment horizontal="right" vertical="center"/>
    </xf>
    <xf numFmtId="0" fontId="11" fillId="12" borderId="31" xfId="0" applyFont="1" applyFill="1" applyBorder="1" applyAlignment="1">
      <alignment vertical="center"/>
    </xf>
    <xf numFmtId="9" fontId="33" fillId="12" borderId="53" xfId="0" applyNumberFormat="1" applyFont="1" applyFill="1" applyBorder="1" applyAlignment="1">
      <alignment horizontal="right" vertical="center"/>
    </xf>
    <xf numFmtId="9" fontId="33" fillId="12" borderId="31" xfId="0" applyNumberFormat="1" applyFont="1" applyFill="1" applyBorder="1" applyAlignment="1">
      <alignment horizontal="right" vertical="center"/>
    </xf>
    <xf numFmtId="0" fontId="11" fillId="4" borderId="0" xfId="0" applyFont="1" applyFill="1" applyAlignment="1">
      <alignment vertical="center"/>
    </xf>
    <xf numFmtId="0" fontId="33" fillId="4" borderId="0" xfId="0" applyFont="1" applyFill="1" applyAlignment="1">
      <alignment horizontal="center" vertical="center"/>
    </xf>
    <xf numFmtId="0" fontId="11" fillId="0" borderId="32" xfId="0" applyFont="1" applyBorder="1" applyAlignment="1">
      <alignment vertical="center"/>
    </xf>
    <xf numFmtId="0" fontId="11" fillId="0" borderId="32" xfId="0" applyFont="1" applyBorder="1" applyAlignment="1">
      <alignment horizontal="center" vertical="center"/>
    </xf>
    <xf numFmtId="0" fontId="11" fillId="0" borderId="31" xfId="0" applyFont="1" applyBorder="1" applyAlignment="1">
      <alignment vertical="center" wrapText="1"/>
    </xf>
    <xf numFmtId="168" fontId="22" fillId="0" borderId="13" xfId="1" applyNumberFormat="1" applyFont="1" applyBorder="1" applyAlignment="1">
      <alignment horizontal="right" vertical="center" wrapText="1" readingOrder="1"/>
    </xf>
    <xf numFmtId="0" fontId="22" fillId="12" borderId="42" xfId="0" applyFont="1" applyFill="1" applyBorder="1" applyAlignment="1">
      <alignment horizontal="right" vertical="center" wrapText="1"/>
    </xf>
    <xf numFmtId="2" fontId="11" fillId="0" borderId="43" xfId="3" applyNumberFormat="1" applyFont="1" applyFill="1" applyBorder="1" applyAlignment="1">
      <alignment horizontal="right" vertical="center" wrapText="1" readingOrder="1"/>
    </xf>
    <xf numFmtId="2" fontId="22" fillId="12" borderId="13" xfId="0" applyNumberFormat="1" applyFont="1" applyFill="1" applyBorder="1" applyAlignment="1">
      <alignment horizontal="center" vertical="center" wrapText="1"/>
    </xf>
    <xf numFmtId="166" fontId="22" fillId="0" borderId="10" xfId="0" applyNumberFormat="1" applyFont="1" applyBorder="1" applyAlignment="1">
      <alignment horizontal="right" vertical="center" wrapText="1" readingOrder="1"/>
    </xf>
    <xf numFmtId="1" fontId="22" fillId="0" borderId="10" xfId="0" applyNumberFormat="1" applyFont="1" applyBorder="1" applyAlignment="1">
      <alignment horizontal="right" vertical="center" wrapText="1" readingOrder="1"/>
    </xf>
    <xf numFmtId="43" fontId="17" fillId="9" borderId="13" xfId="1" applyFont="1" applyFill="1" applyBorder="1" applyAlignment="1">
      <alignment horizontal="right" vertical="center" wrapText="1"/>
    </xf>
    <xf numFmtId="4" fontId="22" fillId="0" borderId="13" xfId="1" applyNumberFormat="1" applyFont="1" applyBorder="1" applyAlignment="1">
      <alignment horizontal="right" vertical="center"/>
    </xf>
    <xf numFmtId="4" fontId="22" fillId="12" borderId="13" xfId="1" applyNumberFormat="1" applyFont="1" applyFill="1" applyBorder="1" applyAlignment="1">
      <alignment horizontal="right" vertical="center"/>
    </xf>
    <xf numFmtId="4" fontId="22" fillId="12" borderId="37" xfId="1" applyNumberFormat="1" applyFont="1" applyFill="1" applyBorder="1" applyAlignment="1">
      <alignment horizontal="right" vertical="center"/>
    </xf>
    <xf numFmtId="165" fontId="11" fillId="0" borderId="13" xfId="0" applyNumberFormat="1" applyFont="1" applyBorder="1" applyAlignment="1">
      <alignment horizontal="right" vertical="center" wrapText="1"/>
    </xf>
    <xf numFmtId="165" fontId="11" fillId="12" borderId="13" xfId="0" applyNumberFormat="1" applyFont="1" applyFill="1" applyBorder="1" applyAlignment="1">
      <alignment horizontal="right" vertical="center"/>
    </xf>
    <xf numFmtId="165" fontId="11" fillId="0" borderId="13" xfId="0" applyNumberFormat="1" applyFont="1" applyBorder="1" applyAlignment="1">
      <alignment horizontal="right" vertical="center"/>
    </xf>
    <xf numFmtId="165" fontId="11" fillId="12" borderId="13" xfId="3" applyNumberFormat="1" applyFont="1" applyFill="1" applyBorder="1" applyAlignment="1">
      <alignment horizontal="right" vertical="center"/>
    </xf>
    <xf numFmtId="165" fontId="11" fillId="0" borderId="13" xfId="3" applyNumberFormat="1" applyFont="1" applyFill="1" applyBorder="1" applyAlignment="1">
      <alignment horizontal="right" vertical="center"/>
    </xf>
    <xf numFmtId="165" fontId="11" fillId="12" borderId="13" xfId="0" quotePrefix="1" applyNumberFormat="1" applyFont="1" applyFill="1" applyBorder="1" applyAlignment="1">
      <alignment horizontal="right" vertical="center"/>
    </xf>
    <xf numFmtId="165" fontId="11" fillId="0" borderId="13" xfId="3" quotePrefix="1" applyNumberFormat="1" applyFont="1" applyFill="1" applyBorder="1" applyAlignment="1">
      <alignment horizontal="right" vertical="center"/>
    </xf>
    <xf numFmtId="165" fontId="11" fillId="12" borderId="16" xfId="3" quotePrefix="1" applyNumberFormat="1" applyFont="1" applyFill="1" applyBorder="1" applyAlignment="1">
      <alignment horizontal="right" vertical="center"/>
    </xf>
    <xf numFmtId="0" fontId="0" fillId="3" borderId="0" xfId="0" applyFill="1" applyAlignment="1">
      <alignment vertical="center"/>
    </xf>
    <xf numFmtId="0" fontId="47" fillId="3" borderId="0" xfId="0" applyFont="1" applyFill="1" applyAlignment="1">
      <alignment vertical="center"/>
    </xf>
    <xf numFmtId="0" fontId="0" fillId="3" borderId="3" xfId="0" applyFill="1" applyBorder="1" applyAlignment="1">
      <alignment vertical="center"/>
    </xf>
    <xf numFmtId="0" fontId="0" fillId="3" borderId="0" xfId="0" applyFill="1" applyAlignment="1">
      <alignment horizontal="right" vertical="center"/>
    </xf>
    <xf numFmtId="0" fontId="0" fillId="3" borderId="12" xfId="0" applyFill="1" applyBorder="1" applyAlignment="1">
      <alignment horizontal="right" vertical="center"/>
    </xf>
    <xf numFmtId="0" fontId="62" fillId="11" borderId="3" xfId="0" applyFont="1" applyFill="1" applyBorder="1" applyAlignment="1">
      <alignment vertical="center"/>
    </xf>
    <xf numFmtId="0" fontId="0" fillId="11" borderId="0" xfId="0" applyFill="1" applyAlignment="1">
      <alignment vertical="center"/>
    </xf>
    <xf numFmtId="0" fontId="0" fillId="11" borderId="0" xfId="0" applyFill="1" applyAlignment="1">
      <alignment horizontal="right" vertical="center"/>
    </xf>
    <xf numFmtId="0" fontId="0" fillId="11" borderId="12" xfId="0" applyFill="1" applyBorder="1" applyAlignment="1">
      <alignment horizontal="right" vertical="center"/>
    </xf>
    <xf numFmtId="0" fontId="47" fillId="11" borderId="3" xfId="0" applyFont="1" applyFill="1" applyBorder="1" applyAlignment="1">
      <alignment vertical="center"/>
    </xf>
    <xf numFmtId="0" fontId="64" fillId="0" borderId="0" xfId="0" applyFont="1" applyAlignment="1">
      <alignment vertical="center"/>
    </xf>
    <xf numFmtId="167" fontId="29" fillId="3" borderId="44" xfId="5" applyNumberFormat="1" applyFont="1" applyFill="1" applyBorder="1" applyAlignment="1">
      <alignment horizontal="right" vertical="center" wrapText="1" readingOrder="1"/>
    </xf>
    <xf numFmtId="165" fontId="33" fillId="12" borderId="12" xfId="0" applyNumberFormat="1" applyFont="1" applyFill="1" applyBorder="1" applyAlignment="1">
      <alignment horizontal="right" vertical="center"/>
    </xf>
    <xf numFmtId="1" fontId="11" fillId="0" borderId="42" xfId="0" applyNumberFormat="1" applyFont="1" applyBorder="1" applyAlignment="1">
      <alignment horizontal="right" vertical="center" wrapText="1"/>
    </xf>
    <xf numFmtId="1" fontId="22" fillId="0" borderId="13" xfId="0" applyNumberFormat="1" applyFont="1" applyBorder="1" applyAlignment="1">
      <alignment horizontal="center" wrapText="1"/>
    </xf>
    <xf numFmtId="0" fontId="11" fillId="3" borderId="27" xfId="3" applyFont="1" applyFill="1" applyBorder="1" applyAlignment="1">
      <alignment horizontal="right" vertical="center" wrapText="1" readingOrder="1"/>
    </xf>
    <xf numFmtId="0" fontId="29" fillId="3" borderId="16" xfId="0" applyFont="1" applyFill="1" applyBorder="1" applyAlignment="1">
      <alignment horizontal="center" vertical="center" wrapText="1" readingOrder="1"/>
    </xf>
    <xf numFmtId="0" fontId="29" fillId="3" borderId="2" xfId="0" applyFont="1" applyFill="1" applyBorder="1" applyAlignment="1">
      <alignment horizontal="center" vertical="center" wrapText="1" readingOrder="1"/>
    </xf>
    <xf numFmtId="166" fontId="29" fillId="3" borderId="44" xfId="0" applyNumberFormat="1" applyFont="1" applyFill="1" applyBorder="1" applyAlignment="1">
      <alignment horizontal="right" vertical="center" wrapText="1" readingOrder="1"/>
    </xf>
    <xf numFmtId="49" fontId="22" fillId="3" borderId="16" xfId="0" applyNumberFormat="1" applyFont="1" applyFill="1" applyBorder="1" applyAlignment="1">
      <alignment horizontal="right" vertical="center" wrapText="1" readingOrder="1"/>
    </xf>
    <xf numFmtId="1" fontId="29" fillId="3" borderId="16" xfId="0" applyNumberFormat="1" applyFont="1" applyFill="1" applyBorder="1" applyAlignment="1">
      <alignment horizontal="right" vertical="center" wrapText="1" readingOrder="1"/>
    </xf>
    <xf numFmtId="9" fontId="22" fillId="0" borderId="12" xfId="0" applyNumberFormat="1" applyFont="1" applyBorder="1" applyAlignment="1">
      <alignment horizontal="center"/>
    </xf>
    <xf numFmtId="9" fontId="22" fillId="0" borderId="27" xfId="0" applyNumberFormat="1" applyFont="1" applyBorder="1" applyAlignment="1">
      <alignment horizontal="center" vertical="center"/>
    </xf>
    <xf numFmtId="166" fontId="28" fillId="26" borderId="14" xfId="0" applyNumberFormat="1" applyFont="1" applyFill="1" applyBorder="1" applyAlignment="1">
      <alignment vertical="center"/>
    </xf>
    <xf numFmtId="166" fontId="28" fillId="26" borderId="27" xfId="0" applyNumberFormat="1" applyFont="1" applyFill="1" applyBorder="1" applyAlignment="1">
      <alignment vertical="center"/>
    </xf>
    <xf numFmtId="166" fontId="29" fillId="0" borderId="15" xfId="0" applyNumberFormat="1" applyFont="1" applyBorder="1" applyAlignment="1">
      <alignment vertical="center"/>
    </xf>
    <xf numFmtId="166" fontId="29" fillId="38" borderId="14" xfId="0" applyNumberFormat="1" applyFont="1" applyFill="1" applyBorder="1" applyAlignment="1">
      <alignment vertical="center"/>
    </xf>
    <xf numFmtId="166" fontId="29" fillId="0" borderId="14" xfId="0" applyNumberFormat="1" applyFont="1" applyBorder="1" applyAlignment="1">
      <alignment vertical="center"/>
    </xf>
    <xf numFmtId="166" fontId="29" fillId="0" borderId="27" xfId="0" applyNumberFormat="1" applyFont="1" applyBorder="1" applyAlignment="1">
      <alignment vertical="center"/>
    </xf>
    <xf numFmtId="166" fontId="29" fillId="38" borderId="10" xfId="0" applyNumberFormat="1" applyFont="1" applyFill="1" applyBorder="1" applyAlignment="1">
      <alignment vertical="center"/>
    </xf>
    <xf numFmtId="166" fontId="29" fillId="12" borderId="15" xfId="0" applyNumberFormat="1" applyFont="1" applyFill="1" applyBorder="1" applyAlignment="1">
      <alignment vertical="center"/>
    </xf>
    <xf numFmtId="1" fontId="28" fillId="25" borderId="8" xfId="0" applyNumberFormat="1" applyFont="1" applyFill="1" applyBorder="1" applyAlignment="1">
      <alignment vertical="center" wrapText="1"/>
    </xf>
    <xf numFmtId="1" fontId="28" fillId="26" borderId="14" xfId="0" applyNumberFormat="1" applyFont="1" applyFill="1" applyBorder="1" applyAlignment="1">
      <alignment vertical="center" wrapText="1"/>
    </xf>
    <xf numFmtId="1" fontId="29" fillId="38" borderId="14" xfId="0" applyNumberFormat="1" applyFont="1" applyFill="1" applyBorder="1" applyAlignment="1">
      <alignment vertical="center" wrapText="1"/>
    </xf>
    <xf numFmtId="1" fontId="29" fillId="0" borderId="14" xfId="0" applyNumberFormat="1" applyFont="1" applyBorder="1" applyAlignment="1">
      <alignment vertical="center" wrapText="1"/>
    </xf>
    <xf numFmtId="1" fontId="29" fillId="0" borderId="14" xfId="0" applyNumberFormat="1" applyFont="1" applyBorder="1" applyAlignment="1">
      <alignment vertical="center"/>
    </xf>
    <xf numFmtId="1" fontId="29" fillId="38" borderId="9" xfId="0" applyNumberFormat="1" applyFont="1" applyFill="1" applyBorder="1" applyAlignment="1">
      <alignment vertical="center" wrapText="1"/>
    </xf>
    <xf numFmtId="1" fontId="28" fillId="21" borderId="3" xfId="0" applyNumberFormat="1" applyFont="1" applyFill="1" applyBorder="1" applyAlignment="1">
      <alignment vertical="center" wrapText="1"/>
    </xf>
    <xf numFmtId="1" fontId="28" fillId="38" borderId="8" xfId="0" applyNumberFormat="1" applyFont="1" applyFill="1" applyBorder="1" applyAlignment="1">
      <alignment vertical="center" wrapText="1"/>
    </xf>
    <xf numFmtId="3" fontId="28" fillId="26" borderId="14" xfId="0" applyNumberFormat="1" applyFont="1" applyFill="1" applyBorder="1" applyAlignment="1">
      <alignment vertical="center"/>
    </xf>
    <xf numFmtId="165" fontId="28" fillId="25" borderId="10" xfId="0" applyNumberFormat="1" applyFont="1" applyFill="1" applyBorder="1" applyAlignment="1">
      <alignment vertical="center" wrapText="1"/>
    </xf>
    <xf numFmtId="165" fontId="29" fillId="38" borderId="27" xfId="0" applyNumberFormat="1" applyFont="1" applyFill="1" applyBorder="1" applyAlignment="1">
      <alignment vertical="center"/>
    </xf>
    <xf numFmtId="165" fontId="29" fillId="0" borderId="27" xfId="0" applyNumberFormat="1" applyFont="1" applyBorder="1" applyAlignment="1">
      <alignment vertical="center"/>
    </xf>
    <xf numFmtId="4" fontId="29" fillId="26" borderId="14" xfId="0" applyNumberFormat="1" applyFont="1" applyFill="1" applyBorder="1" applyAlignment="1">
      <alignment vertical="center" wrapText="1"/>
    </xf>
    <xf numFmtId="166" fontId="28" fillId="25" borderId="3" xfId="0" applyNumberFormat="1" applyFont="1" applyFill="1" applyBorder="1" applyAlignment="1">
      <alignment vertical="center" wrapText="1"/>
    </xf>
    <xf numFmtId="1" fontId="28" fillId="25" borderId="3" xfId="0" applyNumberFormat="1" applyFont="1" applyFill="1" applyBorder="1" applyAlignment="1">
      <alignment vertical="center" wrapText="1"/>
    </xf>
    <xf numFmtId="1" fontId="29" fillId="26" borderId="14" xfId="0" applyNumberFormat="1" applyFont="1" applyFill="1" applyBorder="1" applyAlignment="1">
      <alignment vertical="center" wrapText="1"/>
    </xf>
    <xf numFmtId="1" fontId="29" fillId="20" borderId="14" xfId="0" applyNumberFormat="1" applyFont="1" applyFill="1" applyBorder="1" applyAlignment="1">
      <alignment vertical="center" wrapText="1"/>
    </xf>
    <xf numFmtId="1" fontId="29" fillId="0" borderId="9" xfId="0" applyNumberFormat="1" applyFont="1" applyBorder="1" applyAlignment="1">
      <alignment vertical="center" wrapText="1"/>
    </xf>
    <xf numFmtId="1" fontId="29" fillId="20" borderId="15" xfId="0" applyNumberFormat="1" applyFont="1" applyFill="1" applyBorder="1" applyAlignment="1">
      <alignment vertical="center" wrapText="1"/>
    </xf>
    <xf numFmtId="1" fontId="28" fillId="26" borderId="15" xfId="0" applyNumberFormat="1" applyFont="1" applyFill="1" applyBorder="1" applyAlignment="1">
      <alignment vertical="center" wrapText="1"/>
    </xf>
    <xf numFmtId="1" fontId="28" fillId="20" borderId="3" xfId="0" applyNumberFormat="1" applyFont="1" applyFill="1" applyBorder="1" applyAlignment="1">
      <alignment vertical="center" wrapText="1"/>
    </xf>
    <xf numFmtId="1" fontId="29" fillId="27" borderId="8" xfId="0" applyNumberFormat="1" applyFont="1" applyFill="1" applyBorder="1" applyAlignment="1">
      <alignment vertical="center" wrapText="1"/>
    </xf>
    <xf numFmtId="1" fontId="29" fillId="0" borderId="10" xfId="0" applyNumberFormat="1" applyFont="1" applyBorder="1" applyAlignment="1">
      <alignment vertical="center" wrapText="1"/>
    </xf>
    <xf numFmtId="1" fontId="29" fillId="20" borderId="16" xfId="0" applyNumberFormat="1" applyFont="1" applyFill="1" applyBorder="1" applyAlignment="1">
      <alignment vertical="center" wrapText="1"/>
    </xf>
    <xf numFmtId="1" fontId="29" fillId="26" borderId="15" xfId="0" applyNumberFormat="1" applyFont="1" applyFill="1" applyBorder="1" applyAlignment="1">
      <alignment vertical="center" wrapText="1"/>
    </xf>
    <xf numFmtId="1" fontId="29" fillId="26" borderId="12" xfId="0" applyNumberFormat="1" applyFont="1" applyFill="1" applyBorder="1" applyAlignment="1">
      <alignment vertical="center" wrapText="1"/>
    </xf>
    <xf numFmtId="1" fontId="28" fillId="20" borderId="8" xfId="0" applyNumberFormat="1" applyFont="1" applyFill="1" applyBorder="1" applyAlignment="1">
      <alignment vertical="center" wrapText="1"/>
    </xf>
    <xf numFmtId="3" fontId="29" fillId="26" borderId="14" xfId="0" applyNumberFormat="1" applyFont="1" applyFill="1" applyBorder="1" applyAlignment="1">
      <alignment vertical="center" wrapText="1"/>
    </xf>
    <xf numFmtId="166" fontId="29" fillId="20" borderId="14" xfId="0" applyNumberFormat="1" applyFont="1" applyFill="1" applyBorder="1" applyAlignment="1">
      <alignment vertical="center"/>
    </xf>
    <xf numFmtId="1" fontId="29" fillId="20" borderId="14" xfId="0" applyNumberFormat="1" applyFont="1" applyFill="1" applyBorder="1" applyAlignment="1">
      <alignment vertical="center"/>
    </xf>
    <xf numFmtId="166" fontId="28" fillId="25" borderId="13" xfId="0" applyNumberFormat="1" applyFont="1" applyFill="1" applyBorder="1" applyAlignment="1">
      <alignment vertical="center" wrapText="1"/>
    </xf>
    <xf numFmtId="166" fontId="29" fillId="26" borderId="27" xfId="0" applyNumberFormat="1" applyFont="1" applyFill="1" applyBorder="1" applyAlignment="1">
      <alignment vertical="center"/>
    </xf>
    <xf numFmtId="166" fontId="29" fillId="20" borderId="27" xfId="0" applyNumberFormat="1" applyFont="1" applyFill="1" applyBorder="1" applyAlignment="1">
      <alignment vertical="center"/>
    </xf>
    <xf numFmtId="166" fontId="28" fillId="27" borderId="10" xfId="0" applyNumberFormat="1" applyFont="1" applyFill="1" applyBorder="1" applyAlignment="1">
      <alignment vertical="center"/>
    </xf>
    <xf numFmtId="166" fontId="29" fillId="27" borderId="10" xfId="0" applyNumberFormat="1" applyFont="1" applyFill="1" applyBorder="1" applyAlignment="1">
      <alignment vertical="center"/>
    </xf>
    <xf numFmtId="166" fontId="29" fillId="26" borderId="14" xfId="0" applyNumberFormat="1" applyFont="1" applyFill="1" applyBorder="1" applyAlignment="1">
      <alignment vertical="center"/>
    </xf>
    <xf numFmtId="166" fontId="29" fillId="20" borderId="10" xfId="0" applyNumberFormat="1" applyFont="1" applyFill="1" applyBorder="1" applyAlignment="1">
      <alignment vertical="center"/>
    </xf>
    <xf numFmtId="0" fontId="29" fillId="20" borderId="27" xfId="0" applyFont="1" applyFill="1" applyBorder="1" applyAlignment="1">
      <alignment horizontal="right" vertical="center" wrapText="1"/>
    </xf>
    <xf numFmtId="0" fontId="29" fillId="0" borderId="10" xfId="0" applyFont="1" applyBorder="1" applyAlignment="1">
      <alignment horizontal="right" vertical="center" wrapText="1"/>
    </xf>
    <xf numFmtId="0" fontId="29" fillId="20" borderId="16" xfId="0" applyFont="1" applyFill="1" applyBorder="1" applyAlignment="1">
      <alignment horizontal="right" vertical="center" wrapText="1"/>
    </xf>
    <xf numFmtId="166" fontId="28" fillId="25" borderId="14" xfId="0" applyNumberFormat="1" applyFont="1" applyFill="1" applyBorder="1" applyAlignment="1">
      <alignment vertical="center" wrapText="1"/>
    </xf>
    <xf numFmtId="166" fontId="28" fillId="27" borderId="8" xfId="0" applyNumberFormat="1" applyFont="1" applyFill="1" applyBorder="1" applyAlignment="1">
      <alignment vertical="center" wrapText="1"/>
    </xf>
    <xf numFmtId="1" fontId="28" fillId="25" borderId="14" xfId="0" applyNumberFormat="1" applyFont="1" applyFill="1" applyBorder="1" applyAlignment="1">
      <alignment vertical="center" wrapText="1"/>
    </xf>
    <xf numFmtId="1" fontId="29" fillId="21" borderId="3" xfId="0" applyNumberFormat="1" applyFont="1" applyFill="1" applyBorder="1" applyAlignment="1">
      <alignment vertical="center" wrapText="1"/>
    </xf>
    <xf numFmtId="1" fontId="28" fillId="27" borderId="8" xfId="0" applyNumberFormat="1" applyFont="1" applyFill="1" applyBorder="1" applyAlignment="1">
      <alignment vertical="center" wrapText="1"/>
    </xf>
    <xf numFmtId="1" fontId="29" fillId="20" borderId="3" xfId="0" applyNumberFormat="1" applyFont="1" applyFill="1" applyBorder="1" applyAlignment="1">
      <alignment vertical="center" wrapText="1"/>
    </xf>
    <xf numFmtId="1" fontId="29" fillId="20" borderId="17" xfId="0" applyNumberFormat="1" applyFont="1" applyFill="1" applyBorder="1" applyAlignment="1">
      <alignment vertical="center" wrapText="1"/>
    </xf>
    <xf numFmtId="3" fontId="29" fillId="26" borderId="14" xfId="0" applyNumberFormat="1" applyFont="1" applyFill="1" applyBorder="1" applyAlignment="1">
      <alignment vertical="center"/>
    </xf>
    <xf numFmtId="3" fontId="29" fillId="0" borderId="6" xfId="0" applyNumberFormat="1" applyFont="1" applyBorder="1" applyAlignment="1">
      <alignment vertical="center"/>
    </xf>
    <xf numFmtId="3" fontId="29" fillId="20" borderId="6" xfId="0" applyNumberFormat="1" applyFont="1" applyFill="1" applyBorder="1" applyAlignment="1">
      <alignment vertical="center" wrapText="1"/>
    </xf>
    <xf numFmtId="3" fontId="29" fillId="26" borderId="6" xfId="0" applyNumberFormat="1" applyFont="1" applyFill="1" applyBorder="1" applyAlignment="1">
      <alignment vertical="center" wrapText="1"/>
    </xf>
    <xf numFmtId="166" fontId="29" fillId="21" borderId="14" xfId="0" applyNumberFormat="1" applyFont="1" applyFill="1" applyBorder="1" applyAlignment="1">
      <alignment vertical="center"/>
    </xf>
    <xf numFmtId="166" fontId="28" fillId="27" borderId="8" xfId="0" applyNumberFormat="1" applyFont="1" applyFill="1" applyBorder="1" applyAlignment="1">
      <alignment vertical="center"/>
    </xf>
    <xf numFmtId="166" fontId="29" fillId="27" borderId="8" xfId="0" applyNumberFormat="1" applyFont="1" applyFill="1" applyBorder="1" applyAlignment="1">
      <alignment vertical="center"/>
    </xf>
    <xf numFmtId="166" fontId="29" fillId="20" borderId="8" xfId="0" applyNumberFormat="1" applyFont="1" applyFill="1" applyBorder="1" applyAlignment="1">
      <alignment vertical="center"/>
    </xf>
    <xf numFmtId="1" fontId="28" fillId="38" borderId="14" xfId="0" applyNumberFormat="1" applyFont="1" applyFill="1" applyBorder="1" applyAlignment="1">
      <alignment vertical="center" wrapText="1"/>
    </xf>
    <xf numFmtId="166" fontId="28" fillId="24" borderId="10" xfId="0" applyNumberFormat="1" applyFont="1" applyFill="1" applyBorder="1" applyAlignment="1">
      <alignment vertical="center"/>
    </xf>
    <xf numFmtId="166" fontId="29" fillId="0" borderId="16" xfId="0" applyNumberFormat="1" applyFont="1" applyBorder="1" applyAlignment="1">
      <alignment vertical="center"/>
    </xf>
    <xf numFmtId="166" fontId="29" fillId="38" borderId="16" xfId="0" applyNumberFormat="1" applyFont="1" applyFill="1" applyBorder="1" applyAlignment="1">
      <alignment vertical="center"/>
    </xf>
    <xf numFmtId="166" fontId="29" fillId="12" borderId="16" xfId="0" applyNumberFormat="1" applyFont="1" applyFill="1" applyBorder="1" applyAlignment="1">
      <alignment vertical="center"/>
    </xf>
    <xf numFmtId="166" fontId="29" fillId="12" borderId="13" xfId="0" applyNumberFormat="1" applyFont="1" applyFill="1" applyBorder="1" applyAlignment="1">
      <alignment vertical="center"/>
    </xf>
    <xf numFmtId="166" fontId="28" fillId="27" borderId="10" xfId="0" applyNumberFormat="1" applyFont="1" applyFill="1" applyBorder="1" applyAlignment="1">
      <alignment vertical="center" wrapText="1"/>
    </xf>
    <xf numFmtId="166" fontId="28" fillId="25" borderId="15" xfId="0" applyNumberFormat="1" applyFont="1" applyFill="1" applyBorder="1" applyAlignment="1">
      <alignment vertical="center" wrapText="1"/>
    </xf>
    <xf numFmtId="166" fontId="29" fillId="38" borderId="15" xfId="0" applyNumberFormat="1" applyFont="1" applyFill="1" applyBorder="1" applyAlignment="1">
      <alignment vertical="center"/>
    </xf>
    <xf numFmtId="166" fontId="29" fillId="12" borderId="12" xfId="0" applyNumberFormat="1" applyFont="1" applyFill="1" applyBorder="1" applyAlignment="1">
      <alignment vertical="center"/>
    </xf>
    <xf numFmtId="166" fontId="28" fillId="25" borderId="16" xfId="0" applyNumberFormat="1" applyFont="1" applyFill="1" applyBorder="1" applyAlignment="1">
      <alignment vertical="center" wrapText="1"/>
    </xf>
    <xf numFmtId="166" fontId="29" fillId="28" borderId="10" xfId="0" applyNumberFormat="1" applyFont="1" applyFill="1" applyBorder="1" applyAlignment="1">
      <alignment vertical="center"/>
    </xf>
    <xf numFmtId="3" fontId="22" fillId="12" borderId="13" xfId="0" applyNumberFormat="1" applyFont="1" applyFill="1" applyBorder="1" applyAlignment="1">
      <alignment horizontal="center" vertical="center"/>
    </xf>
    <xf numFmtId="3" fontId="22" fillId="0" borderId="13" xfId="0" applyNumberFormat="1" applyFont="1" applyBorder="1" applyAlignment="1">
      <alignment horizontal="center" vertical="center"/>
    </xf>
    <xf numFmtId="169" fontId="29" fillId="0" borderId="13" xfId="0" applyNumberFormat="1" applyFont="1" applyBorder="1" applyAlignment="1">
      <alignment horizontal="right" wrapText="1" readingOrder="1"/>
    </xf>
    <xf numFmtId="168" fontId="29" fillId="0" borderId="13" xfId="0" applyNumberFormat="1" applyFont="1" applyBorder="1" applyAlignment="1">
      <alignment horizontal="right" wrapText="1" readingOrder="1"/>
    </xf>
    <xf numFmtId="168" fontId="29" fillId="0" borderId="37" xfId="0" applyNumberFormat="1" applyFont="1" applyBorder="1" applyAlignment="1">
      <alignment horizontal="right" wrapText="1" readingOrder="1"/>
    </xf>
    <xf numFmtId="0" fontId="29" fillId="0" borderId="42" xfId="0" applyFont="1" applyBorder="1" applyAlignment="1">
      <alignment horizontal="center" vertical="center" wrapText="1" readingOrder="1"/>
    </xf>
    <xf numFmtId="9" fontId="29" fillId="0" borderId="42" xfId="0" applyNumberFormat="1" applyFont="1" applyBorder="1" applyAlignment="1">
      <alignment horizontal="right" vertical="center" wrapText="1" readingOrder="1"/>
    </xf>
    <xf numFmtId="9" fontId="29" fillId="0" borderId="13" xfId="0" applyNumberFormat="1" applyFont="1" applyBorder="1" applyAlignment="1">
      <alignment vertical="center" wrapText="1" readingOrder="1"/>
    </xf>
    <xf numFmtId="9" fontId="29" fillId="0" borderId="0" xfId="0" applyNumberFormat="1" applyFont="1" applyAlignment="1">
      <alignment vertical="center" wrapText="1" readingOrder="1"/>
    </xf>
    <xf numFmtId="9" fontId="29" fillId="0" borderId="70" xfId="0" applyNumberFormat="1" applyFont="1" applyBorder="1" applyAlignment="1">
      <alignment vertical="center" wrapText="1" readingOrder="1"/>
    </xf>
    <xf numFmtId="0" fontId="29" fillId="0" borderId="0" xfId="0" applyFont="1" applyAlignment="1">
      <alignment vertical="center" wrapText="1" readingOrder="1"/>
    </xf>
    <xf numFmtId="0" fontId="29" fillId="0" borderId="0" xfId="0" applyFont="1" applyAlignment="1">
      <alignment horizontal="center" vertical="center" wrapText="1" readingOrder="1"/>
    </xf>
    <xf numFmtId="9" fontId="29" fillId="0" borderId="13" xfId="0" applyNumberFormat="1" applyFont="1" applyBorder="1" applyAlignment="1">
      <alignment horizontal="right" vertical="center" wrapText="1" readingOrder="1"/>
    </xf>
    <xf numFmtId="9" fontId="29" fillId="0" borderId="12" xfId="0" applyNumberFormat="1" applyFont="1" applyBorder="1" applyAlignment="1">
      <alignment vertical="center" wrapText="1" readingOrder="1"/>
    </xf>
    <xf numFmtId="9" fontId="29" fillId="0" borderId="12" xfId="0" applyNumberFormat="1" applyFont="1" applyBorder="1" applyAlignment="1">
      <alignment horizontal="right" vertical="center" wrapText="1" readingOrder="1"/>
    </xf>
    <xf numFmtId="0" fontId="29" fillId="0" borderId="52" xfId="0" applyFont="1" applyBorder="1" applyAlignment="1">
      <alignment horizontal="center" vertical="center" wrapText="1" readingOrder="1"/>
    </xf>
    <xf numFmtId="0" fontId="29" fillId="0" borderId="84" xfId="0" applyFont="1" applyBorder="1" applyAlignment="1">
      <alignment horizontal="right" vertical="center" wrapText="1" readingOrder="1"/>
    </xf>
    <xf numFmtId="0" fontId="29" fillId="0" borderId="37" xfId="0" applyFont="1" applyBorder="1" applyAlignment="1">
      <alignment vertical="center" wrapText="1" readingOrder="1"/>
    </xf>
    <xf numFmtId="0" fontId="29" fillId="0" borderId="31" xfId="0" applyFont="1" applyBorder="1" applyAlignment="1">
      <alignment vertical="center" wrapText="1" readingOrder="1"/>
    </xf>
    <xf numFmtId="0" fontId="29" fillId="0" borderId="84" xfId="0" applyFont="1" applyBorder="1" applyAlignment="1">
      <alignment vertical="center" wrapText="1" readingOrder="1"/>
    </xf>
    <xf numFmtId="0" fontId="52" fillId="0" borderId="13" xfId="0" applyFont="1" applyBorder="1" applyAlignment="1">
      <alignment vertical="center" wrapText="1"/>
    </xf>
    <xf numFmtId="0" fontId="29" fillId="0" borderId="70" xfId="0" applyFont="1" applyBorder="1" applyAlignment="1">
      <alignment vertical="center" wrapText="1" readingOrder="1"/>
    </xf>
    <xf numFmtId="0" fontId="52" fillId="0" borderId="13" xfId="0" applyFont="1" applyBorder="1" applyAlignment="1">
      <alignment vertical="center" wrapText="1" readingOrder="1"/>
    </xf>
    <xf numFmtId="0" fontId="52" fillId="0" borderId="0" xfId="0" applyFont="1" applyAlignment="1">
      <alignment vertical="center" wrapText="1" readingOrder="1"/>
    </xf>
    <xf numFmtId="0" fontId="52" fillId="0" borderId="70" xfId="0" applyFont="1" applyBorder="1" applyAlignment="1">
      <alignment vertical="center" wrapText="1" readingOrder="1"/>
    </xf>
    <xf numFmtId="0" fontId="29" fillId="20" borderId="45" xfId="0" applyFont="1" applyFill="1" applyBorder="1" applyAlignment="1">
      <alignment wrapText="1" readingOrder="1"/>
    </xf>
    <xf numFmtId="0" fontId="29" fillId="0" borderId="12" xfId="0" applyFont="1" applyBorder="1" applyAlignment="1">
      <alignment vertical="center" wrapText="1" readingOrder="1"/>
    </xf>
    <xf numFmtId="0" fontId="29" fillId="0" borderId="13" xfId="0" applyFont="1" applyBorder="1" applyAlignment="1">
      <alignment horizontal="right" vertical="center" wrapText="1" readingOrder="1"/>
    </xf>
    <xf numFmtId="0" fontId="29" fillId="0" borderId="31" xfId="0" applyFont="1" applyBorder="1" applyAlignment="1">
      <alignment horizontal="center" vertical="center" wrapText="1" readingOrder="1"/>
    </xf>
    <xf numFmtId="0" fontId="29" fillId="0" borderId="36" xfId="0" applyFont="1" applyBorder="1" applyAlignment="1">
      <alignment vertical="center" wrapText="1" readingOrder="1"/>
    </xf>
    <xf numFmtId="0" fontId="52" fillId="0" borderId="12" xfId="0" applyFont="1" applyBorder="1" applyAlignment="1">
      <alignment vertical="center" wrapText="1"/>
    </xf>
    <xf numFmtId="0" fontId="29" fillId="0" borderId="12" xfId="0" applyFont="1" applyBorder="1" applyAlignment="1">
      <alignment horizontal="right" vertical="center" wrapText="1" readingOrder="1"/>
    </xf>
    <xf numFmtId="0" fontId="29" fillId="0" borderId="37" xfId="0" applyFont="1" applyBorder="1" applyAlignment="1">
      <alignment horizontal="right" vertical="center" wrapText="1" readingOrder="1"/>
    </xf>
    <xf numFmtId="0" fontId="29" fillId="0" borderId="36" xfId="0" applyFont="1" applyBorder="1" applyAlignment="1">
      <alignment horizontal="right" vertical="center" wrapText="1" readingOrder="1"/>
    </xf>
    <xf numFmtId="43" fontId="29" fillId="0" borderId="13" xfId="0" applyNumberFormat="1" applyFont="1" applyBorder="1" applyAlignment="1">
      <alignment horizontal="right" vertical="center" wrapText="1" readingOrder="1"/>
    </xf>
    <xf numFmtId="43" fontId="29" fillId="0" borderId="12" xfId="0" applyNumberFormat="1" applyFont="1" applyBorder="1" applyAlignment="1">
      <alignment horizontal="right" vertical="center" wrapText="1" readingOrder="1"/>
    </xf>
    <xf numFmtId="0" fontId="29" fillId="0" borderId="2" xfId="0" applyFont="1" applyBorder="1" applyAlignment="1">
      <alignment horizontal="center" vertical="center" wrapText="1" readingOrder="1"/>
    </xf>
    <xf numFmtId="43" fontId="29" fillId="0" borderId="16" xfId="0" applyNumberFormat="1" applyFont="1" applyBorder="1" applyAlignment="1">
      <alignment horizontal="right" vertical="center" wrapText="1" readingOrder="1"/>
    </xf>
    <xf numFmtId="0" fontId="29" fillId="0" borderId="15" xfId="0" applyFont="1" applyBorder="1" applyAlignment="1">
      <alignment horizontal="right" vertical="center" wrapText="1" readingOrder="1"/>
    </xf>
    <xf numFmtId="0" fontId="29" fillId="0" borderId="70" xfId="0" applyFont="1" applyBorder="1" applyAlignment="1">
      <alignment horizontal="right" vertical="center" wrapText="1" readingOrder="1"/>
    </xf>
    <xf numFmtId="3" fontId="29" fillId="20" borderId="13" xfId="0" applyNumberFormat="1" applyFont="1" applyFill="1" applyBorder="1" applyAlignment="1">
      <alignment horizontal="right" wrapText="1" readingOrder="1"/>
    </xf>
    <xf numFmtId="0" fontId="52" fillId="31" borderId="27" xfId="0" applyFont="1" applyFill="1" applyBorder="1" applyAlignment="1">
      <alignment wrapText="1" readingOrder="1"/>
    </xf>
    <xf numFmtId="0" fontId="29" fillId="0" borderId="50" xfId="0" applyFont="1" applyBorder="1"/>
    <xf numFmtId="2" fontId="29" fillId="0" borderId="16" xfId="0" applyNumberFormat="1" applyFont="1" applyBorder="1" applyAlignment="1">
      <alignment horizontal="right" wrapText="1" readingOrder="1"/>
    </xf>
    <xf numFmtId="2" fontId="29" fillId="20" borderId="37" xfId="0" applyNumberFormat="1" applyFont="1" applyFill="1" applyBorder="1" applyAlignment="1">
      <alignment horizontal="right" wrapText="1" readingOrder="1"/>
    </xf>
    <xf numFmtId="0" fontId="29" fillId="0" borderId="13" xfId="0" applyFont="1" applyBorder="1" applyAlignment="1">
      <alignment vertical="center" wrapText="1"/>
    </xf>
    <xf numFmtId="2" fontId="27" fillId="31" borderId="10" xfId="0" applyNumberFormat="1" applyFont="1" applyFill="1" applyBorder="1" applyAlignment="1">
      <alignment horizontal="right" vertical="center"/>
    </xf>
    <xf numFmtId="0" fontId="22" fillId="0" borderId="3" xfId="0" applyFont="1" applyBorder="1" applyAlignment="1">
      <alignment horizontal="left" vertical="center" readingOrder="1"/>
    </xf>
    <xf numFmtId="1" fontId="22" fillId="11" borderId="13" xfId="0" applyNumberFormat="1" applyFont="1" applyFill="1" applyBorder="1" applyAlignment="1">
      <alignment horizontal="right" vertical="center" wrapText="1" readingOrder="1"/>
    </xf>
    <xf numFmtId="0" fontId="22" fillId="11" borderId="39" xfId="0" applyFont="1" applyFill="1" applyBorder="1" applyAlignment="1">
      <alignment horizontal="left" vertical="center" readingOrder="1"/>
    </xf>
    <xf numFmtId="0" fontId="22" fillId="11" borderId="37" xfId="0" applyFont="1" applyFill="1" applyBorder="1" applyAlignment="1">
      <alignment horizontal="center" vertical="center" readingOrder="1"/>
    </xf>
    <xf numFmtId="1" fontId="22" fillId="11" borderId="17" xfId="0" applyNumberFormat="1" applyFont="1" applyFill="1" applyBorder="1" applyAlignment="1">
      <alignment horizontal="right" vertical="center" readingOrder="1"/>
    </xf>
    <xf numFmtId="1" fontId="22" fillId="11" borderId="43" xfId="0" applyNumberFormat="1" applyFont="1" applyFill="1" applyBorder="1" applyAlignment="1">
      <alignment horizontal="right" vertical="center" readingOrder="1"/>
    </xf>
    <xf numFmtId="1" fontId="22" fillId="11" borderId="50" xfId="0" applyNumberFormat="1" applyFont="1" applyFill="1" applyBorder="1" applyAlignment="1">
      <alignment horizontal="right" vertical="center" readingOrder="1"/>
    </xf>
    <xf numFmtId="1" fontId="22" fillId="11" borderId="36" xfId="0" applyNumberFormat="1" applyFont="1" applyFill="1" applyBorder="1" applyAlignment="1">
      <alignment horizontal="right" vertical="center" readingOrder="1"/>
    </xf>
    <xf numFmtId="3" fontId="22" fillId="0" borderId="0" xfId="0" applyNumberFormat="1" applyFont="1" applyAlignment="1">
      <alignment horizontal="center" vertical="center"/>
    </xf>
    <xf numFmtId="2" fontId="22" fillId="12" borderId="45" xfId="0" applyNumberFormat="1" applyFont="1" applyFill="1" applyBorder="1" applyAlignment="1">
      <alignment horizontal="center" vertical="center" wrapText="1"/>
    </xf>
    <xf numFmtId="1" fontId="22" fillId="0" borderId="16" xfId="0" applyNumberFormat="1" applyFont="1" applyBorder="1" applyAlignment="1">
      <alignment horizontal="center" vertical="center" wrapText="1"/>
    </xf>
    <xf numFmtId="3" fontId="22" fillId="0" borderId="60" xfId="0" applyNumberFormat="1" applyFont="1" applyBorder="1" applyAlignment="1">
      <alignment horizontal="center" vertical="center" wrapText="1"/>
    </xf>
    <xf numFmtId="3" fontId="22" fillId="0" borderId="16" xfId="0" applyNumberFormat="1" applyFont="1" applyBorder="1" applyAlignment="1">
      <alignment horizontal="center" vertical="center" wrapText="1"/>
    </xf>
    <xf numFmtId="166" fontId="22" fillId="0" borderId="12" xfId="0" applyNumberFormat="1" applyFont="1" applyBorder="1" applyAlignment="1">
      <alignment horizontal="center" vertical="center" wrapText="1"/>
    </xf>
    <xf numFmtId="166" fontId="22" fillId="0" borderId="13" xfId="5" applyNumberFormat="1" applyFont="1" applyBorder="1" applyAlignment="1">
      <alignment horizontal="center" vertical="center" wrapText="1"/>
    </xf>
    <xf numFmtId="166" fontId="22" fillId="0" borderId="35" xfId="5" applyNumberFormat="1" applyFont="1" applyBorder="1" applyAlignment="1">
      <alignment horizontal="center" vertical="center" wrapText="1"/>
    </xf>
    <xf numFmtId="0" fontId="29" fillId="20" borderId="45" xfId="0" applyFont="1" applyFill="1" applyBorder="1" applyAlignment="1">
      <alignment horizontal="center" wrapText="1" readingOrder="1"/>
    </xf>
    <xf numFmtId="3" fontId="22" fillId="0" borderId="45" xfId="1" applyNumberFormat="1" applyFont="1" applyFill="1" applyBorder="1" applyAlignment="1">
      <alignment horizontal="center" vertical="center" wrapText="1"/>
    </xf>
    <xf numFmtId="0" fontId="11" fillId="0" borderId="53" xfId="0" applyFont="1" applyBorder="1" applyAlignment="1">
      <alignment horizontal="right" vertical="center" wrapText="1"/>
    </xf>
    <xf numFmtId="0" fontId="25" fillId="3" borderId="12" xfId="3" applyFont="1" applyFill="1" applyBorder="1" applyAlignment="1">
      <alignment vertical="center" wrapText="1"/>
    </xf>
    <xf numFmtId="3" fontId="22" fillId="12" borderId="42" xfId="0" applyNumberFormat="1" applyFont="1" applyFill="1" applyBorder="1" applyAlignment="1">
      <alignment horizontal="center" vertical="center" wrapText="1"/>
    </xf>
    <xf numFmtId="165" fontId="33" fillId="0" borderId="12" xfId="0" applyNumberFormat="1" applyFont="1" applyBorder="1" applyAlignment="1">
      <alignment horizontal="right" vertical="center"/>
    </xf>
    <xf numFmtId="165" fontId="33" fillId="12" borderId="36" xfId="0" applyNumberFormat="1" applyFont="1" applyFill="1" applyBorder="1" applyAlignment="1">
      <alignment horizontal="right" vertical="center"/>
    </xf>
    <xf numFmtId="3" fontId="25" fillId="12" borderId="13" xfId="0" applyNumberFormat="1" applyFont="1" applyFill="1" applyBorder="1" applyAlignment="1">
      <alignment horizontal="center" vertical="center" wrapText="1"/>
    </xf>
    <xf numFmtId="165" fontId="17" fillId="12" borderId="63" xfId="1" applyNumberFormat="1" applyFont="1" applyFill="1" applyBorder="1" applyAlignment="1">
      <alignment horizontal="right" vertical="center"/>
    </xf>
    <xf numFmtId="4" fontId="17" fillId="12" borderId="63" xfId="1" applyNumberFormat="1" applyFont="1" applyFill="1" applyBorder="1" applyAlignment="1">
      <alignment horizontal="right" vertical="center"/>
    </xf>
    <xf numFmtId="0" fontId="28" fillId="37" borderId="8" xfId="0" applyFont="1" applyFill="1" applyBorder="1" applyAlignment="1">
      <alignment vertical="center" wrapText="1"/>
    </xf>
    <xf numFmtId="0" fontId="28" fillId="37" borderId="10" xfId="0" applyFont="1" applyFill="1" applyBorder="1" applyAlignment="1">
      <alignment vertical="center" wrapText="1"/>
    </xf>
    <xf numFmtId="3" fontId="28" fillId="12" borderId="8" xfId="0" applyNumberFormat="1" applyFont="1" applyFill="1" applyBorder="1" applyAlignment="1">
      <alignment vertical="center"/>
    </xf>
    <xf numFmtId="3" fontId="11" fillId="9" borderId="3" xfId="3" quotePrefix="1" applyNumberFormat="1" applyFont="1" applyBorder="1" applyAlignment="1">
      <alignment horizontal="right" vertical="center"/>
    </xf>
    <xf numFmtId="3" fontId="28" fillId="12" borderId="10" xfId="0" applyNumberFormat="1" applyFont="1" applyFill="1" applyBorder="1" applyAlignment="1">
      <alignment horizontal="right" vertical="center"/>
    </xf>
    <xf numFmtId="3" fontId="25" fillId="0" borderId="13" xfId="1" applyNumberFormat="1" applyFont="1" applyBorder="1" applyAlignment="1">
      <alignment horizontal="right" vertical="center" wrapText="1"/>
    </xf>
    <xf numFmtId="3" fontId="11" fillId="9" borderId="13" xfId="1" quotePrefix="1" applyNumberFormat="1" applyFont="1" applyFill="1" applyBorder="1" applyAlignment="1">
      <alignment horizontal="right" vertical="center"/>
    </xf>
    <xf numFmtId="3" fontId="67" fillId="12" borderId="8" xfId="0" applyNumberFormat="1" applyFont="1" applyFill="1" applyBorder="1" applyAlignment="1">
      <alignment horizontal="right" vertical="center"/>
    </xf>
    <xf numFmtId="3" fontId="11" fillId="0" borderId="3" xfId="0" quotePrefix="1" applyNumberFormat="1" applyFont="1" applyBorder="1" applyAlignment="1">
      <alignment horizontal="right" vertical="center"/>
    </xf>
    <xf numFmtId="3" fontId="28" fillId="12" borderId="8" xfId="0" applyNumberFormat="1" applyFont="1" applyFill="1" applyBorder="1" applyAlignment="1">
      <alignment horizontal="right" vertical="center"/>
    </xf>
    <xf numFmtId="168" fontId="28" fillId="12" borderId="10" xfId="1" applyNumberFormat="1" applyFont="1" applyFill="1" applyBorder="1" applyAlignment="1">
      <alignment vertical="center"/>
    </xf>
    <xf numFmtId="168" fontId="11" fillId="0" borderId="13" xfId="1" quotePrefix="1" applyNumberFormat="1" applyFont="1" applyBorder="1" applyAlignment="1">
      <alignment vertical="center"/>
    </xf>
    <xf numFmtId="168" fontId="11" fillId="9" borderId="13" xfId="1" quotePrefix="1" applyNumberFormat="1" applyFont="1" applyFill="1" applyBorder="1" applyAlignment="1">
      <alignment horizontal="left" vertical="center"/>
    </xf>
    <xf numFmtId="3" fontId="25" fillId="12" borderId="0" xfId="0" applyNumberFormat="1" applyFont="1" applyFill="1" applyAlignment="1">
      <alignment horizontal="center" vertical="center" wrapText="1"/>
    </xf>
    <xf numFmtId="165" fontId="25" fillId="0" borderId="13" xfId="0" applyNumberFormat="1" applyFont="1" applyBorder="1" applyAlignment="1">
      <alignment horizontal="center" vertical="center" wrapText="1"/>
    </xf>
    <xf numFmtId="165" fontId="25" fillId="0" borderId="0" xfId="0" applyNumberFormat="1" applyFont="1" applyAlignment="1">
      <alignment horizontal="center" vertical="center" wrapText="1"/>
    </xf>
    <xf numFmtId="9" fontId="25" fillId="0" borderId="0" xfId="5" applyFont="1" applyAlignment="1">
      <alignment horizontal="left" vertical="center" wrapText="1"/>
    </xf>
    <xf numFmtId="9" fontId="25" fillId="0" borderId="0" xfId="5" applyFont="1" applyAlignment="1">
      <alignment horizontal="left" vertical="center"/>
    </xf>
    <xf numFmtId="166" fontId="22" fillId="12" borderId="13" xfId="0" applyNumberFormat="1" applyFont="1" applyFill="1" applyBorder="1" applyAlignment="1">
      <alignment horizontal="center" vertical="center" wrapText="1"/>
    </xf>
    <xf numFmtId="166" fontId="22" fillId="12" borderId="16" xfId="0" applyNumberFormat="1" applyFont="1" applyFill="1" applyBorder="1" applyAlignment="1">
      <alignment horizontal="center" vertical="center" wrapText="1"/>
    </xf>
    <xf numFmtId="166" fontId="22" fillId="11" borderId="16" xfId="0" applyNumberFormat="1" applyFont="1" applyFill="1" applyBorder="1" applyAlignment="1">
      <alignment horizontal="center" vertical="center" wrapText="1"/>
    </xf>
    <xf numFmtId="165" fontId="22" fillId="11" borderId="13" xfId="0" applyNumberFormat="1" applyFont="1" applyFill="1" applyBorder="1" applyAlignment="1">
      <alignment horizontal="center" vertical="center" wrapText="1"/>
    </xf>
    <xf numFmtId="1" fontId="29" fillId="3" borderId="13" xfId="0" applyNumberFormat="1" applyFont="1" applyFill="1" applyBorder="1" applyAlignment="1">
      <alignment horizontal="right" vertical="center" wrapText="1" readingOrder="1"/>
    </xf>
    <xf numFmtId="2" fontId="29" fillId="20" borderId="70" xfId="0" applyNumberFormat="1" applyFont="1" applyFill="1" applyBorder="1" applyAlignment="1">
      <alignment horizontal="right" wrapText="1" readingOrder="1"/>
    </xf>
    <xf numFmtId="0" fontId="25" fillId="12"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8" fillId="37" borderId="10" xfId="0" applyFont="1" applyFill="1" applyBorder="1" applyAlignment="1">
      <alignment horizontal="right" vertical="center" wrapText="1"/>
    </xf>
    <xf numFmtId="3" fontId="22" fillId="0" borderId="43" xfId="0" applyNumberFormat="1" applyFont="1" applyBorder="1" applyAlignment="1">
      <alignment horizontal="center" vertical="center" wrapText="1"/>
    </xf>
    <xf numFmtId="3" fontId="22" fillId="4" borderId="42" xfId="0" applyNumberFormat="1" applyFont="1" applyFill="1" applyBorder="1" applyAlignment="1">
      <alignment horizontal="center" vertical="center" wrapText="1"/>
    </xf>
    <xf numFmtId="0" fontId="11" fillId="11" borderId="17" xfId="3" applyFont="1" applyFill="1" applyBorder="1" applyAlignment="1">
      <alignment vertical="center" wrapText="1"/>
    </xf>
    <xf numFmtId="0" fontId="11" fillId="11" borderId="2" xfId="3" applyFont="1" applyFill="1" applyBorder="1" applyAlignment="1">
      <alignment horizontal="center" vertical="center" wrapText="1"/>
    </xf>
    <xf numFmtId="9" fontId="11" fillId="0" borderId="0" xfId="5" applyFont="1" applyAlignment="1">
      <alignment horizontal="center" vertical="center"/>
    </xf>
    <xf numFmtId="9" fontId="11" fillId="0" borderId="0" xfId="5" applyFont="1" applyAlignment="1">
      <alignment horizontal="right" vertical="center"/>
    </xf>
    <xf numFmtId="0" fontId="11" fillId="0" borderId="116" xfId="3" applyFont="1" applyFill="1" applyBorder="1" applyAlignment="1">
      <alignment horizontal="center" vertical="center" wrapText="1" readingOrder="1"/>
    </xf>
    <xf numFmtId="0" fontId="11" fillId="37" borderId="45" xfId="3" applyFont="1" applyFill="1" applyBorder="1" applyAlignment="1">
      <alignment horizontal="center" vertical="center" wrapText="1" readingOrder="1"/>
    </xf>
    <xf numFmtId="0" fontId="11" fillId="0" borderId="60" xfId="3" applyFont="1" applyFill="1" applyBorder="1" applyAlignment="1">
      <alignment horizontal="center" vertical="center" wrapText="1" readingOrder="1"/>
    </xf>
    <xf numFmtId="166" fontId="29" fillId="3" borderId="44" xfId="5" applyNumberFormat="1" applyFont="1" applyFill="1" applyBorder="1" applyAlignment="1">
      <alignment horizontal="right" vertical="center" wrapText="1" readingOrder="1"/>
    </xf>
    <xf numFmtId="0" fontId="68" fillId="0" borderId="0" xfId="2" applyFont="1"/>
    <xf numFmtId="0" fontId="68" fillId="0" borderId="0" xfId="2" applyFont="1" applyFill="1"/>
    <xf numFmtId="0" fontId="68" fillId="0" borderId="0" xfId="2" applyFont="1" applyFill="1" applyBorder="1"/>
    <xf numFmtId="0" fontId="68" fillId="0" borderId="0" xfId="2" applyFont="1" applyAlignment="1">
      <alignment vertical="center"/>
    </xf>
    <xf numFmtId="0" fontId="69" fillId="34" borderId="0" xfId="2" applyFont="1" applyFill="1" applyAlignment="1">
      <alignment vertical="center"/>
    </xf>
    <xf numFmtId="0" fontId="69" fillId="14" borderId="0" xfId="2" applyFont="1" applyFill="1"/>
    <xf numFmtId="0" fontId="11" fillId="11" borderId="0" xfId="2" applyFont="1" applyFill="1" applyBorder="1" applyAlignment="1">
      <alignment vertical="center" wrapText="1"/>
    </xf>
    <xf numFmtId="0" fontId="9" fillId="34" borderId="2" xfId="0" applyFont="1" applyFill="1" applyBorder="1" applyAlignment="1">
      <alignment horizontal="center" vertical="center" wrapText="1"/>
    </xf>
    <xf numFmtId="0" fontId="11" fillId="0" borderId="0" xfId="0" applyFont="1" applyAlignment="1">
      <alignment horizontal="left" vertical="top" wrapText="1"/>
    </xf>
    <xf numFmtId="0" fontId="44" fillId="15" borderId="0" xfId="0" applyFont="1" applyFill="1" applyAlignment="1">
      <alignment horizontal="center"/>
    </xf>
    <xf numFmtId="0" fontId="9" fillId="14" borderId="0" xfId="0" applyFont="1" applyFill="1" applyAlignment="1">
      <alignment horizontal="left" vertical="center"/>
    </xf>
    <xf numFmtId="0" fontId="11" fillId="0" borderId="0" xfId="0" applyFont="1" applyAlignment="1">
      <alignment vertical="top" wrapText="1"/>
    </xf>
    <xf numFmtId="0" fontId="0" fillId="0" borderId="0" xfId="0" applyAlignment="1">
      <alignment vertical="top" wrapText="1"/>
    </xf>
    <xf numFmtId="0" fontId="36" fillId="14" borderId="0" xfId="0" applyFont="1" applyFill="1" applyAlignment="1">
      <alignment vertical="center"/>
    </xf>
    <xf numFmtId="0" fontId="11" fillId="0" borderId="0" xfId="0" applyFont="1" applyAlignment="1">
      <alignment vertical="center" wrapText="1"/>
    </xf>
    <xf numFmtId="0" fontId="11" fillId="0" borderId="0" xfId="0" applyFont="1" applyAlignment="1">
      <alignment vertical="center"/>
    </xf>
    <xf numFmtId="0" fontId="36" fillId="15" borderId="18" xfId="0" applyFont="1" applyFill="1" applyBorder="1" applyAlignment="1">
      <alignment vertical="center"/>
    </xf>
    <xf numFmtId="0" fontId="36" fillId="15" borderId="19" xfId="0" applyFont="1" applyFill="1" applyBorder="1" applyAlignment="1">
      <alignment vertical="center"/>
    </xf>
    <xf numFmtId="0" fontId="33" fillId="0" borderId="0" xfId="0" applyFont="1" applyAlignment="1">
      <alignment horizontal="center"/>
    </xf>
    <xf numFmtId="3" fontId="33" fillId="0" borderId="0" xfId="1" applyNumberFormat="1" applyFont="1" applyAlignment="1">
      <alignment horizontal="center"/>
    </xf>
    <xf numFmtId="3" fontId="11" fillId="0" borderId="0" xfId="1" applyNumberFormat="1" applyFont="1" applyAlignment="1">
      <alignment horizontal="center" vertical="center"/>
    </xf>
    <xf numFmtId="0" fontId="45" fillId="23" borderId="0" xfId="0" applyFont="1" applyFill="1" applyAlignment="1">
      <alignment horizontal="center"/>
    </xf>
    <xf numFmtId="3" fontId="45" fillId="23" borderId="0" xfId="1" applyNumberFormat="1" applyFont="1" applyFill="1" applyAlignment="1">
      <alignment horizontal="center"/>
    </xf>
    <xf numFmtId="0" fontId="36" fillId="15" borderId="66" xfId="0" applyFont="1" applyFill="1" applyBorder="1" applyAlignment="1">
      <alignment horizontal="right" vertical="center"/>
    </xf>
    <xf numFmtId="0" fontId="36" fillId="15" borderId="0" xfId="0" applyFont="1" applyFill="1" applyAlignment="1">
      <alignment horizontal="right" vertical="center"/>
    </xf>
    <xf numFmtId="0" fontId="36" fillId="15" borderId="18" xfId="0" applyFont="1" applyFill="1" applyBorder="1" applyAlignment="1">
      <alignment horizontal="right" vertical="center"/>
    </xf>
    <xf numFmtId="0" fontId="36" fillId="15" borderId="19" xfId="0" applyFont="1" applyFill="1" applyBorder="1" applyAlignment="1">
      <alignment horizontal="right" vertical="center"/>
    </xf>
    <xf numFmtId="0" fontId="11" fillId="0" borderId="22" xfId="0" applyFont="1" applyBorder="1" applyAlignment="1"/>
    <xf numFmtId="0" fontId="11" fillId="0" borderId="23" xfId="0" applyFont="1" applyBorder="1" applyAlignment="1"/>
    <xf numFmtId="166" fontId="22" fillId="0" borderId="64" xfId="0" applyNumberFormat="1" applyFont="1" applyBorder="1" applyAlignment="1">
      <alignment horizontal="right" vertical="center"/>
    </xf>
    <xf numFmtId="166" fontId="22" fillId="0" borderId="65" xfId="0" applyNumberFormat="1" applyFont="1" applyBorder="1" applyAlignment="1">
      <alignment horizontal="right" vertical="center"/>
    </xf>
    <xf numFmtId="166" fontId="22" fillId="0" borderId="22" xfId="0" applyNumberFormat="1" applyFont="1" applyBorder="1" applyAlignment="1">
      <alignment horizontal="right" vertical="center"/>
    </xf>
    <xf numFmtId="9" fontId="22" fillId="3" borderId="21" xfId="0" applyNumberFormat="1" applyFont="1" applyFill="1" applyBorder="1" applyAlignment="1">
      <alignment horizontal="right" vertical="center"/>
    </xf>
    <xf numFmtId="0" fontId="22" fillId="3" borderId="21" xfId="0" applyFont="1" applyFill="1" applyBorder="1" applyAlignment="1">
      <alignment horizontal="right" vertical="center"/>
    </xf>
    <xf numFmtId="0" fontId="17" fillId="11" borderId="20" xfId="0" applyFont="1" applyFill="1" applyBorder="1" applyAlignment="1"/>
    <xf numFmtId="0" fontId="17" fillId="11" borderId="21" xfId="0" applyFont="1" applyFill="1" applyBorder="1" applyAlignment="1"/>
    <xf numFmtId="166" fontId="27" fillId="11" borderId="67" xfId="0" applyNumberFormat="1" applyFont="1" applyFill="1" applyBorder="1" applyAlignment="1">
      <alignment horizontal="right" vertical="center"/>
    </xf>
    <xf numFmtId="166" fontId="27" fillId="11" borderId="68" xfId="0" applyNumberFormat="1" applyFont="1" applyFill="1" applyBorder="1" applyAlignment="1">
      <alignment horizontal="right" vertical="center"/>
    </xf>
    <xf numFmtId="166" fontId="27" fillId="11" borderId="20" xfId="0" applyNumberFormat="1" applyFont="1" applyFill="1" applyBorder="1" applyAlignment="1">
      <alignment horizontal="right" vertical="center"/>
    </xf>
    <xf numFmtId="9" fontId="27" fillId="11" borderId="21" xfId="0" applyNumberFormat="1" applyFont="1" applyFill="1" applyBorder="1" applyAlignment="1">
      <alignment horizontal="right" vertical="center"/>
    </xf>
    <xf numFmtId="0" fontId="27" fillId="11" borderId="21" xfId="0" applyFont="1" applyFill="1" applyBorder="1" applyAlignment="1">
      <alignment horizontal="right" vertical="center"/>
    </xf>
    <xf numFmtId="9" fontId="27" fillId="11" borderId="64" xfId="5" applyFont="1" applyFill="1" applyBorder="1" applyAlignment="1">
      <alignment horizontal="right" vertical="center"/>
    </xf>
    <xf numFmtId="9" fontId="27" fillId="11" borderId="65" xfId="5" applyFont="1" applyFill="1" applyBorder="1" applyAlignment="1">
      <alignment horizontal="right" vertical="center"/>
    </xf>
    <xf numFmtId="9" fontId="27" fillId="11" borderId="22" xfId="5" applyFont="1" applyFill="1" applyBorder="1" applyAlignment="1">
      <alignment horizontal="right" vertical="center"/>
    </xf>
    <xf numFmtId="166" fontId="22" fillId="0" borderId="64" xfId="1" applyNumberFormat="1" applyFont="1" applyBorder="1" applyAlignment="1">
      <alignment horizontal="right" vertical="center"/>
    </xf>
    <xf numFmtId="166" fontId="22" fillId="0" borderId="65" xfId="1" applyNumberFormat="1" applyFont="1" applyBorder="1" applyAlignment="1">
      <alignment horizontal="right" vertical="center"/>
    </xf>
    <xf numFmtId="166" fontId="22" fillId="0" borderId="22" xfId="1" applyNumberFormat="1" applyFont="1" applyBorder="1" applyAlignment="1">
      <alignment horizontal="right" vertical="center"/>
    </xf>
    <xf numFmtId="9" fontId="22" fillId="0" borderId="64" xfId="0" applyNumberFormat="1" applyFont="1" applyBorder="1" applyAlignment="1">
      <alignment horizontal="right" vertical="center"/>
    </xf>
    <xf numFmtId="9" fontId="22" fillId="0" borderId="65" xfId="0" applyNumberFormat="1" applyFont="1" applyBorder="1" applyAlignment="1">
      <alignment horizontal="right" vertical="center"/>
    </xf>
    <xf numFmtId="9" fontId="22" fillId="0" borderId="22" xfId="0" applyNumberFormat="1" applyFont="1" applyBorder="1" applyAlignment="1">
      <alignment horizontal="right" vertical="center"/>
    </xf>
    <xf numFmtId="0" fontId="17" fillId="11" borderId="22" xfId="0" applyFont="1" applyFill="1" applyBorder="1" applyAlignment="1"/>
    <xf numFmtId="0" fontId="17" fillId="11" borderId="23" xfId="0" applyFont="1" applyFill="1" applyBorder="1" applyAlignment="1"/>
    <xf numFmtId="166" fontId="27" fillId="11" borderId="64" xfId="0" applyNumberFormat="1" applyFont="1" applyFill="1" applyBorder="1" applyAlignment="1">
      <alignment horizontal="right" vertical="center"/>
    </xf>
    <xf numFmtId="166" fontId="27" fillId="11" borderId="65" xfId="0" applyNumberFormat="1" applyFont="1" applyFill="1" applyBorder="1" applyAlignment="1">
      <alignment horizontal="right" vertical="center"/>
    </xf>
    <xf numFmtId="166" fontId="27" fillId="11" borderId="22" xfId="0" applyNumberFormat="1" applyFont="1" applyFill="1" applyBorder="1" applyAlignment="1">
      <alignment horizontal="right" vertical="center"/>
    </xf>
    <xf numFmtId="9" fontId="27" fillId="11" borderId="64" xfId="0" applyNumberFormat="1" applyFont="1" applyFill="1" applyBorder="1" applyAlignment="1">
      <alignment horizontal="right" vertical="center"/>
    </xf>
    <xf numFmtId="9" fontId="27" fillId="11" borderId="65" xfId="0" applyNumberFormat="1" applyFont="1" applyFill="1" applyBorder="1" applyAlignment="1">
      <alignment horizontal="right" vertical="center"/>
    </xf>
    <xf numFmtId="9" fontId="27" fillId="11" borderId="22" xfId="0" applyNumberFormat="1" applyFont="1" applyFill="1" applyBorder="1" applyAlignment="1">
      <alignment horizontal="right" vertical="center"/>
    </xf>
    <xf numFmtId="0" fontId="7" fillId="0" borderId="0" xfId="2" applyFill="1" applyAlignment="1">
      <alignment horizontal="left"/>
    </xf>
    <xf numFmtId="0" fontId="36" fillId="15" borderId="0" xfId="0" applyFont="1" applyFill="1" applyAlignment="1">
      <alignment horizontal="center" vertical="center" wrapText="1"/>
    </xf>
    <xf numFmtId="0" fontId="17" fillId="11" borderId="93" xfId="0" applyFont="1" applyFill="1" applyBorder="1" applyAlignment="1"/>
    <xf numFmtId="9" fontId="22" fillId="0" borderId="94" xfId="0" applyNumberFormat="1" applyFont="1" applyBorder="1" applyAlignment="1">
      <alignment horizontal="right" vertical="center"/>
    </xf>
    <xf numFmtId="0" fontId="11" fillId="0" borderId="93" xfId="0" applyFont="1" applyBorder="1" applyAlignment="1"/>
    <xf numFmtId="0" fontId="22" fillId="3" borderId="92" xfId="0" applyFont="1" applyFill="1" applyBorder="1" applyAlignment="1">
      <alignment horizontal="right" vertical="center"/>
    </xf>
    <xf numFmtId="9" fontId="27" fillId="11" borderId="94" xfId="5" applyFont="1" applyFill="1" applyBorder="1" applyAlignment="1">
      <alignment horizontal="right" vertical="center"/>
    </xf>
    <xf numFmtId="0" fontId="17" fillId="11" borderId="91" xfId="0" applyFont="1" applyFill="1" applyBorder="1" applyAlignment="1"/>
    <xf numFmtId="166" fontId="27" fillId="11" borderId="97" xfId="0" applyNumberFormat="1" applyFont="1" applyFill="1" applyBorder="1" applyAlignment="1">
      <alignment horizontal="right" vertical="center"/>
    </xf>
    <xf numFmtId="166" fontId="27" fillId="11" borderId="98" xfId="0" applyNumberFormat="1" applyFont="1" applyFill="1" applyBorder="1" applyAlignment="1">
      <alignment horizontal="right" vertical="center"/>
    </xf>
    <xf numFmtId="166" fontId="27" fillId="11" borderId="99" xfId="0" applyNumberFormat="1" applyFont="1" applyFill="1" applyBorder="1" applyAlignment="1">
      <alignment horizontal="right" vertical="center"/>
    </xf>
    <xf numFmtId="0" fontId="27" fillId="11" borderId="92" xfId="0" applyFont="1" applyFill="1" applyBorder="1" applyAlignment="1">
      <alignment horizontal="right" vertical="center"/>
    </xf>
    <xf numFmtId="0" fontId="36" fillId="15" borderId="86" xfId="0" applyFont="1" applyFill="1" applyBorder="1" applyAlignment="1">
      <alignment vertical="center"/>
    </xf>
    <xf numFmtId="0" fontId="36" fillId="15" borderId="87" xfId="0" applyFont="1" applyFill="1" applyBorder="1" applyAlignment="1">
      <alignment vertical="center"/>
    </xf>
    <xf numFmtId="0" fontId="44" fillId="15" borderId="14" xfId="0" applyFont="1" applyFill="1" applyBorder="1" applyAlignment="1">
      <alignment horizontal="center"/>
    </xf>
    <xf numFmtId="0" fontId="44" fillId="15" borderId="6" xfId="0" applyFont="1" applyFill="1" applyBorder="1" applyAlignment="1">
      <alignment horizontal="center"/>
    </xf>
    <xf numFmtId="0" fontId="44" fillId="15" borderId="11" xfId="0" applyFont="1" applyFill="1" applyBorder="1" applyAlignment="1">
      <alignment horizontal="center"/>
    </xf>
    <xf numFmtId="3" fontId="33" fillId="0" borderId="3" xfId="1" applyNumberFormat="1" applyFont="1" applyBorder="1" applyAlignment="1">
      <alignment horizontal="center"/>
    </xf>
    <xf numFmtId="3" fontId="33" fillId="0" borderId="0" xfId="1" applyNumberFormat="1" applyFont="1" applyBorder="1" applyAlignment="1">
      <alignment horizontal="center"/>
    </xf>
    <xf numFmtId="3" fontId="33" fillId="0" borderId="12" xfId="1" applyNumberFormat="1" applyFont="1" applyBorder="1" applyAlignment="1">
      <alignment horizontal="center"/>
    </xf>
    <xf numFmtId="3" fontId="11" fillId="0" borderId="3" xfId="1" applyNumberFormat="1" applyFont="1" applyBorder="1" applyAlignment="1">
      <alignment horizontal="center" vertical="center"/>
    </xf>
    <xf numFmtId="3" fontId="11" fillId="0" borderId="0" xfId="1" applyNumberFormat="1" applyFont="1" applyBorder="1" applyAlignment="1">
      <alignment horizontal="center" vertical="center"/>
    </xf>
    <xf numFmtId="3" fontId="11" fillId="0" borderId="12" xfId="1" applyNumberFormat="1" applyFont="1" applyBorder="1" applyAlignment="1">
      <alignment horizontal="center" vertical="center"/>
    </xf>
    <xf numFmtId="0" fontId="33" fillId="0" borderId="3" xfId="0" applyFont="1" applyBorder="1" applyAlignment="1">
      <alignment horizontal="center"/>
    </xf>
    <xf numFmtId="3" fontId="11" fillId="0" borderId="0" xfId="1" applyNumberFormat="1" applyFont="1" applyFill="1" applyBorder="1" applyAlignment="1">
      <alignment horizontal="center" vertical="center"/>
    </xf>
    <xf numFmtId="3" fontId="11" fillId="0" borderId="12" xfId="1" applyNumberFormat="1" applyFont="1" applyFill="1" applyBorder="1" applyAlignment="1">
      <alignment horizontal="center" vertical="center"/>
    </xf>
    <xf numFmtId="0" fontId="45" fillId="23" borderId="17" xfId="0" applyFont="1" applyFill="1" applyBorder="1" applyAlignment="1">
      <alignment horizontal="center"/>
    </xf>
    <xf numFmtId="0" fontId="45" fillId="23" borderId="2" xfId="0" applyFont="1" applyFill="1" applyBorder="1" applyAlignment="1">
      <alignment horizontal="center"/>
    </xf>
    <xf numFmtId="3" fontId="45" fillId="23" borderId="17" xfId="1" applyNumberFormat="1" applyFont="1" applyFill="1" applyBorder="1" applyAlignment="1">
      <alignment horizontal="center"/>
    </xf>
    <xf numFmtId="3" fontId="45" fillId="23" borderId="2" xfId="1" applyNumberFormat="1" applyFont="1" applyFill="1" applyBorder="1" applyAlignment="1">
      <alignment horizontal="center"/>
    </xf>
    <xf numFmtId="3" fontId="45" fillId="23" borderId="15" xfId="1" applyNumberFormat="1" applyFont="1" applyFill="1" applyBorder="1" applyAlignment="1">
      <alignment horizontal="center"/>
    </xf>
    <xf numFmtId="0" fontId="36" fillId="15" borderId="88" xfId="0" applyFont="1" applyFill="1" applyBorder="1" applyAlignment="1">
      <alignment horizontal="right" vertical="center"/>
    </xf>
    <xf numFmtId="0" fontId="36" fillId="15" borderId="6" xfId="0" applyFont="1" applyFill="1" applyBorder="1" applyAlignment="1">
      <alignment horizontal="right" vertical="center"/>
    </xf>
    <xf numFmtId="0" fontId="36" fillId="15" borderId="89" xfId="0" applyFont="1" applyFill="1" applyBorder="1" applyAlignment="1">
      <alignment horizontal="right" vertical="center"/>
    </xf>
    <xf numFmtId="0" fontId="36" fillId="15" borderId="87" xfId="0" applyFont="1" applyFill="1" applyBorder="1" applyAlignment="1">
      <alignment horizontal="right" vertical="center"/>
    </xf>
    <xf numFmtId="0" fontId="36" fillId="15" borderId="90" xfId="0" applyFont="1" applyFill="1" applyBorder="1" applyAlignment="1">
      <alignment horizontal="right" vertical="center"/>
    </xf>
    <xf numFmtId="0" fontId="20" fillId="0" borderId="0" xfId="2" applyFont="1" applyFill="1" applyAlignment="1">
      <alignment horizontal="left"/>
    </xf>
    <xf numFmtId="0" fontId="25" fillId="0" borderId="0" xfId="0" applyFont="1" applyAlignment="1">
      <alignment vertical="center" wrapText="1"/>
    </xf>
    <xf numFmtId="0" fontId="17" fillId="11" borderId="95" xfId="0" applyFont="1" applyFill="1" applyBorder="1" applyAlignment="1"/>
    <xf numFmtId="0" fontId="17" fillId="11" borderId="96" xfId="0" applyFont="1" applyFill="1" applyBorder="1" applyAlignment="1"/>
    <xf numFmtId="9" fontId="27" fillId="11" borderId="97" xfId="0" applyNumberFormat="1" applyFont="1" applyFill="1" applyBorder="1" applyAlignment="1">
      <alignment horizontal="right" vertical="center"/>
    </xf>
    <xf numFmtId="9" fontId="27" fillId="11" borderId="98" xfId="0" applyNumberFormat="1" applyFont="1" applyFill="1" applyBorder="1" applyAlignment="1">
      <alignment horizontal="right" vertical="center"/>
    </xf>
    <xf numFmtId="9" fontId="27" fillId="11" borderId="100" xfId="0" applyNumberFormat="1" applyFont="1" applyFill="1" applyBorder="1" applyAlignment="1">
      <alignment horizontal="right" vertical="center"/>
    </xf>
    <xf numFmtId="9" fontId="27" fillId="11" borderId="94" xfId="0" applyNumberFormat="1" applyFont="1" applyFill="1" applyBorder="1" applyAlignment="1">
      <alignment horizontal="right" vertical="center"/>
    </xf>
    <xf numFmtId="0" fontId="9" fillId="5" borderId="0" xfId="0" applyFont="1" applyFill="1" applyAlignment="1">
      <alignment vertical="center" wrapText="1" readingOrder="1"/>
    </xf>
    <xf numFmtId="0" fontId="9" fillId="5" borderId="0" xfId="0" applyFont="1" applyFill="1" applyAlignment="1">
      <alignment vertical="center"/>
    </xf>
    <xf numFmtId="0" fontId="9" fillId="5" borderId="8" xfId="0" applyFont="1" applyFill="1" applyBorder="1" applyAlignment="1">
      <alignment horizontal="left" vertical="center"/>
    </xf>
    <xf numFmtId="0" fontId="9" fillId="5" borderId="7" xfId="0" applyFont="1" applyFill="1" applyBorder="1" applyAlignment="1">
      <alignment horizontal="left" vertical="center"/>
    </xf>
    <xf numFmtId="0" fontId="9" fillId="5" borderId="9" xfId="0" applyFont="1" applyFill="1" applyBorder="1" applyAlignment="1">
      <alignment horizontal="left" vertical="center"/>
    </xf>
    <xf numFmtId="0" fontId="29" fillId="12" borderId="0" xfId="0" applyFont="1" applyFill="1" applyAlignment="1">
      <alignment horizontal="left" vertical="center" wrapText="1" readingOrder="1"/>
    </xf>
    <xf numFmtId="0" fontId="22" fillId="12" borderId="0" xfId="0" applyFont="1" applyFill="1" applyAlignment="1">
      <alignment horizontal="left" vertical="center" wrapText="1" readingOrder="1"/>
    </xf>
    <xf numFmtId="0" fontId="9" fillId="5" borderId="14" xfId="0" applyFont="1" applyFill="1" applyBorder="1" applyAlignment="1">
      <alignment vertical="center"/>
    </xf>
    <xf numFmtId="0" fontId="9" fillId="5" borderId="6" xfId="0" applyFont="1" applyFill="1" applyBorder="1" applyAlignment="1">
      <alignment vertical="center"/>
    </xf>
    <xf numFmtId="0" fontId="28" fillId="30" borderId="8" xfId="0" applyFont="1" applyFill="1" applyBorder="1" applyAlignment="1">
      <alignment horizontal="center" vertical="center"/>
    </xf>
    <xf numFmtId="0" fontId="28" fillId="30" borderId="9" xfId="0" applyFont="1" applyFill="1" applyBorder="1" applyAlignment="1">
      <alignment horizontal="center" vertical="center"/>
    </xf>
    <xf numFmtId="49" fontId="29" fillId="9" borderId="0" xfId="3" applyNumberFormat="1" applyFont="1" applyAlignment="1">
      <alignment horizontal="left" vertical="center" wrapText="1"/>
    </xf>
    <xf numFmtId="49" fontId="11" fillId="0" borderId="0" xfId="3" applyNumberFormat="1" applyFont="1" applyFill="1" applyAlignment="1">
      <alignment horizontal="left" vertical="center" wrapText="1"/>
    </xf>
    <xf numFmtId="0" fontId="28" fillId="8" borderId="0" xfId="4" applyFont="1" applyFill="1" applyBorder="1" applyAlignment="1">
      <alignment horizontal="left" vertical="center"/>
    </xf>
    <xf numFmtId="0" fontId="28" fillId="8" borderId="2" xfId="4" applyFont="1" applyFill="1" applyBorder="1" applyAlignment="1">
      <alignment horizontal="left" vertical="center"/>
    </xf>
    <xf numFmtId="49" fontId="11" fillId="0" borderId="30" xfId="3" applyNumberFormat="1" applyFont="1" applyFill="1" applyBorder="1" applyAlignment="1">
      <alignment horizontal="left" vertical="center" wrapText="1"/>
    </xf>
    <xf numFmtId="49" fontId="11" fillId="23" borderId="0" xfId="3" applyNumberFormat="1" applyFont="1" applyFill="1" applyAlignment="1">
      <alignment horizontal="left"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0" fillId="29" borderId="0" xfId="0" applyFont="1" applyFill="1" applyAlignment="1">
      <alignment vertical="center" wrapText="1" readingOrder="1"/>
    </xf>
    <xf numFmtId="0" fontId="28" fillId="30" borderId="40" xfId="0" applyFont="1" applyFill="1" applyBorder="1" applyAlignment="1">
      <alignment horizontal="center" vertical="center"/>
    </xf>
    <xf numFmtId="0" fontId="11" fillId="11" borderId="0" xfId="0" applyFont="1" applyFill="1" applyAlignment="1">
      <alignment vertical="center" wrapText="1"/>
    </xf>
    <xf numFmtId="0" fontId="28" fillId="30" borderId="41" xfId="0" applyFont="1" applyFill="1" applyBorder="1" applyAlignment="1">
      <alignment horizontal="center" vertical="center"/>
    </xf>
    <xf numFmtId="0" fontId="28" fillId="30" borderId="102" xfId="0" applyFont="1" applyFill="1" applyBorder="1" applyAlignment="1">
      <alignment horizontal="center" vertical="center"/>
    </xf>
    <xf numFmtId="0" fontId="11" fillId="12" borderId="69" xfId="0" applyFont="1" applyFill="1" applyBorder="1" applyAlignment="1">
      <alignment horizontal="left" vertical="center" wrapText="1"/>
    </xf>
    <xf numFmtId="0" fontId="17" fillId="11" borderId="46" xfId="0" applyFont="1" applyFill="1" applyBorder="1" applyAlignment="1">
      <alignment horizontal="right" vertical="center" wrapText="1"/>
    </xf>
    <xf numFmtId="0" fontId="17" fillId="11" borderId="43" xfId="0" applyFont="1" applyFill="1" applyBorder="1" applyAlignment="1">
      <alignment horizontal="right" vertical="center" wrapText="1"/>
    </xf>
    <xf numFmtId="0" fontId="13" fillId="7" borderId="0" xfId="0" applyFont="1" applyFill="1" applyAlignment="1">
      <alignment horizontal="left" vertical="center"/>
    </xf>
    <xf numFmtId="49" fontId="25" fillId="23" borderId="0" xfId="0" applyNumberFormat="1" applyFont="1" applyFill="1" applyAlignment="1">
      <alignment horizontal="left" vertical="center" wrapText="1"/>
    </xf>
    <xf numFmtId="0" fontId="11" fillId="0" borderId="0" xfId="0" applyFont="1" applyAlignment="1">
      <alignment horizontal="center" vertical="center"/>
    </xf>
    <xf numFmtId="0" fontId="28" fillId="8" borderId="0" xfId="4" applyFont="1" applyFill="1" applyAlignment="1">
      <alignment horizontal="left" vertical="center"/>
    </xf>
    <xf numFmtId="0" fontId="28" fillId="8" borderId="8" xfId="4" applyFont="1" applyFill="1" applyBorder="1" applyAlignment="1">
      <alignment horizontal="center" vertical="center"/>
    </xf>
    <xf numFmtId="0" fontId="28" fillId="8" borderId="7" xfId="4" applyFont="1" applyFill="1" applyBorder="1" applyAlignment="1">
      <alignment horizontal="center" vertical="center"/>
    </xf>
    <xf numFmtId="0" fontId="28" fillId="8" borderId="9" xfId="4" applyFont="1" applyFill="1" applyBorder="1" applyAlignment="1">
      <alignment horizontal="center" vertical="center"/>
    </xf>
    <xf numFmtId="0" fontId="45" fillId="8" borderId="2" xfId="0" applyFont="1" applyFill="1" applyBorder="1" applyAlignment="1">
      <alignment horizontal="left" vertical="center" wrapText="1"/>
    </xf>
    <xf numFmtId="0" fontId="29" fillId="11" borderId="0" xfId="0" applyFont="1" applyFill="1" applyAlignment="1">
      <alignment vertical="center" wrapText="1"/>
    </xf>
    <xf numFmtId="0" fontId="28" fillId="37" borderId="8" xfId="0" applyFont="1" applyFill="1" applyBorder="1" applyAlignment="1">
      <alignment horizontal="center" vertical="center"/>
    </xf>
    <xf numFmtId="0" fontId="28" fillId="37" borderId="9" xfId="0" applyFont="1" applyFill="1" applyBorder="1" applyAlignment="1">
      <alignment horizontal="center" vertical="center"/>
    </xf>
    <xf numFmtId="0" fontId="45" fillId="8" borderId="8" xfId="0" applyFont="1" applyFill="1" applyBorder="1" applyAlignment="1">
      <alignment horizontal="left" vertical="center"/>
    </xf>
    <xf numFmtId="0" fontId="45" fillId="8" borderId="7" xfId="0" applyFont="1" applyFill="1" applyBorder="1" applyAlignment="1">
      <alignment horizontal="left" vertical="center"/>
    </xf>
    <xf numFmtId="0" fontId="45" fillId="8" borderId="9" xfId="0" applyFont="1" applyFill="1" applyBorder="1" applyAlignment="1">
      <alignment horizontal="left" vertical="center"/>
    </xf>
    <xf numFmtId="0" fontId="17" fillId="8" borderId="0" xfId="0" applyFont="1" applyFill="1" applyAlignment="1">
      <alignment vertical="center"/>
    </xf>
    <xf numFmtId="0" fontId="11" fillId="0" borderId="31" xfId="0" applyFont="1" applyBorder="1" applyAlignment="1">
      <alignment vertical="center" wrapText="1"/>
    </xf>
    <xf numFmtId="0" fontId="28" fillId="30" borderId="7" xfId="0" applyFont="1" applyFill="1" applyBorder="1" applyAlignment="1">
      <alignment horizontal="center" vertical="center"/>
    </xf>
    <xf numFmtId="0" fontId="29" fillId="0" borderId="0" xfId="0" applyFont="1" applyAlignment="1">
      <alignment wrapText="1" readingOrder="1"/>
    </xf>
    <xf numFmtId="0" fontId="29" fillId="20" borderId="0" xfId="0" applyFont="1" applyFill="1" applyAlignment="1">
      <alignment wrapText="1" readingOrder="1"/>
    </xf>
    <xf numFmtId="0" fontId="29" fillId="0" borderId="0" xfId="0" applyFont="1" applyAlignment="1">
      <alignment vertical="center" wrapText="1" readingOrder="1"/>
    </xf>
    <xf numFmtId="0" fontId="10" fillId="7" borderId="0" xfId="0" applyFont="1" applyFill="1" applyAlignment="1">
      <alignment horizontal="left" vertical="center"/>
    </xf>
    <xf numFmtId="0" fontId="29" fillId="0" borderId="31" xfId="0" applyFont="1" applyBorder="1" applyAlignment="1">
      <alignment vertical="center" wrapText="1" readingOrder="1"/>
    </xf>
    <xf numFmtId="0" fontId="29" fillId="0" borderId="50" xfId="0" applyFont="1" applyBorder="1" applyAlignment="1">
      <alignment vertical="center" wrapText="1" readingOrder="1"/>
    </xf>
    <xf numFmtId="0" fontId="29" fillId="20" borderId="43" xfId="0" applyFont="1" applyFill="1" applyBorder="1" applyAlignment="1">
      <alignment wrapText="1" readingOrder="1"/>
    </xf>
    <xf numFmtId="0" fontId="29" fillId="0" borderId="43" xfId="0" applyFont="1" applyBorder="1" applyAlignment="1">
      <alignment vertical="center" wrapText="1" readingOrder="1"/>
    </xf>
    <xf numFmtId="0" fontId="29" fillId="20" borderId="31" xfId="0" applyFont="1" applyFill="1" applyBorder="1" applyAlignment="1">
      <alignment wrapText="1" readingOrder="1"/>
    </xf>
    <xf numFmtId="0" fontId="29" fillId="20" borderId="50" xfId="0" applyFont="1" applyFill="1" applyBorder="1" applyAlignment="1">
      <alignment wrapText="1" readingOrder="1"/>
    </xf>
    <xf numFmtId="0" fontId="29" fillId="0" borderId="2" xfId="0" applyFont="1" applyBorder="1" applyAlignment="1">
      <alignment vertical="center" wrapText="1" readingOrder="1"/>
    </xf>
    <xf numFmtId="0" fontId="29" fillId="0" borderId="44" xfId="0" applyFont="1" applyBorder="1" applyAlignment="1">
      <alignment vertical="center" wrapText="1" readingOrder="1"/>
    </xf>
    <xf numFmtId="0" fontId="52" fillId="0" borderId="0" xfId="0" applyFont="1" applyAlignment="1">
      <alignment wrapText="1" readingOrder="1"/>
    </xf>
    <xf numFmtId="0" fontId="52" fillId="0" borderId="43" xfId="0" applyFont="1" applyBorder="1" applyAlignment="1">
      <alignment wrapText="1" readingOrder="1"/>
    </xf>
    <xf numFmtId="0" fontId="29" fillId="0" borderId="43" xfId="0" applyFont="1" applyBorder="1" applyAlignment="1">
      <alignment wrapText="1" readingOrder="1"/>
    </xf>
    <xf numFmtId="0" fontId="29" fillId="0" borderId="2" xfId="0" applyFont="1" applyBorder="1" applyAlignment="1">
      <alignment wrapText="1" readingOrder="1"/>
    </xf>
    <xf numFmtId="0" fontId="29" fillId="0" borderId="44" xfId="0" applyFont="1" applyBorder="1" applyAlignment="1">
      <alignment wrapText="1" readingOrder="1"/>
    </xf>
    <xf numFmtId="0" fontId="28" fillId="20" borderId="35" xfId="0" applyFont="1" applyFill="1" applyBorder="1" applyAlignment="1">
      <alignment horizontal="center" vertical="center" textRotation="90"/>
    </xf>
    <xf numFmtId="0" fontId="28" fillId="20" borderId="38" xfId="0" applyFont="1" applyFill="1" applyBorder="1" applyAlignment="1">
      <alignment horizontal="center" vertical="center" textRotation="90"/>
    </xf>
    <xf numFmtId="0" fontId="29" fillId="20" borderId="0" xfId="0" applyFont="1" applyFill="1" applyAlignment="1">
      <alignment vertical="center" wrapText="1" readingOrder="1"/>
    </xf>
    <xf numFmtId="0" fontId="29" fillId="20" borderId="43" xfId="0" applyFont="1" applyFill="1" applyBorder="1" applyAlignment="1">
      <alignment vertical="center" wrapText="1" readingOrder="1"/>
    </xf>
    <xf numFmtId="0" fontId="29" fillId="20" borderId="3" xfId="0" applyFont="1" applyFill="1" applyBorder="1" applyAlignment="1">
      <alignment wrapText="1" readingOrder="1"/>
    </xf>
    <xf numFmtId="0" fontId="29" fillId="20" borderId="12" xfId="0" applyFont="1" applyFill="1" applyBorder="1" applyAlignment="1">
      <alignment wrapText="1" readingOrder="1"/>
    </xf>
    <xf numFmtId="0" fontId="28" fillId="12" borderId="34" xfId="0" applyFont="1" applyFill="1" applyBorder="1" applyAlignment="1">
      <alignment horizontal="center" wrapText="1" readingOrder="1"/>
    </xf>
    <xf numFmtId="0" fontId="28" fillId="12" borderId="38" xfId="0" applyFont="1" applyFill="1" applyBorder="1" applyAlignment="1">
      <alignment horizontal="center" wrapText="1" readingOrder="1"/>
    </xf>
    <xf numFmtId="0" fontId="22" fillId="0" borderId="0" xfId="0" applyFont="1" applyAlignment="1">
      <alignment horizontal="left" vertical="center" wrapText="1"/>
    </xf>
    <xf numFmtId="0" fontId="11" fillId="0" borderId="0" xfId="0" applyFont="1" applyAlignment="1">
      <alignment horizontal="left" vertical="center" wrapText="1"/>
    </xf>
    <xf numFmtId="0" fontId="28" fillId="29" borderId="8" xfId="0" applyFont="1" applyFill="1" applyBorder="1" applyAlignment="1">
      <alignment wrapText="1" readingOrder="1"/>
    </xf>
    <xf numFmtId="0" fontId="28" fillId="29" borderId="7" xfId="0" applyFont="1" applyFill="1" applyBorder="1" applyAlignment="1">
      <alignment wrapText="1" readingOrder="1"/>
    </xf>
    <xf numFmtId="0" fontId="28" fillId="20" borderId="124" xfId="0" applyFont="1" applyFill="1" applyBorder="1" applyAlignment="1">
      <alignment horizontal="center" vertical="center" textRotation="90"/>
    </xf>
    <xf numFmtId="0" fontId="29" fillId="0" borderId="31" xfId="0" applyFont="1" applyBorder="1" applyAlignment="1">
      <alignment wrapText="1" readingOrder="1"/>
    </xf>
    <xf numFmtId="0" fontId="29" fillId="0" borderId="50" xfId="0" applyFont="1" applyBorder="1" applyAlignment="1">
      <alignment wrapText="1" readingOrder="1"/>
    </xf>
    <xf numFmtId="0" fontId="63" fillId="39" borderId="0" xfId="0" applyFont="1" applyFill="1" applyAlignment="1">
      <alignment horizontal="left" wrapText="1"/>
    </xf>
    <xf numFmtId="0" fontId="63" fillId="39" borderId="2" xfId="0" applyFont="1" applyFill="1" applyBorder="1" applyAlignment="1">
      <alignment horizontal="left" wrapText="1"/>
    </xf>
    <xf numFmtId="0" fontId="28" fillId="20" borderId="3" xfId="0" applyFont="1" applyFill="1" applyBorder="1" applyAlignment="1">
      <alignment horizontal="center" vertical="center" textRotation="90"/>
    </xf>
    <xf numFmtId="0" fontId="28" fillId="20" borderId="35" xfId="0" applyFont="1" applyFill="1" applyBorder="1" applyAlignment="1">
      <alignment horizontal="center" vertical="center" textRotation="90" wrapText="1"/>
    </xf>
    <xf numFmtId="0" fontId="28" fillId="20" borderId="38" xfId="0" applyFont="1" applyFill="1" applyBorder="1" applyAlignment="1">
      <alignment horizontal="center" vertical="center" textRotation="90" wrapText="1"/>
    </xf>
    <xf numFmtId="0" fontId="30" fillId="20" borderId="35" xfId="0" applyFont="1" applyFill="1" applyBorder="1" applyAlignment="1">
      <alignment horizontal="center" vertical="center" textRotation="90" wrapText="1"/>
    </xf>
    <xf numFmtId="0" fontId="30" fillId="20" borderId="38" xfId="0" applyFont="1" applyFill="1" applyBorder="1" applyAlignment="1">
      <alignment horizontal="center" vertical="center" textRotation="90" wrapText="1"/>
    </xf>
    <xf numFmtId="0" fontId="30" fillId="20" borderId="124" xfId="0" applyFont="1" applyFill="1" applyBorder="1" applyAlignment="1">
      <alignment horizontal="center" vertical="center" textRotation="90" wrapText="1"/>
    </xf>
    <xf numFmtId="0" fontId="29" fillId="0" borderId="30" xfId="0" applyFont="1" applyBorder="1" applyAlignment="1">
      <alignment wrapText="1" readingOrder="1"/>
    </xf>
    <xf numFmtId="0" fontId="9" fillId="15" borderId="6" xfId="0" applyFont="1" applyFill="1" applyBorder="1" applyAlignment="1">
      <alignment vertical="center"/>
    </xf>
    <xf numFmtId="0" fontId="9" fillId="15" borderId="11" xfId="0" applyFont="1" applyFill="1" applyBorder="1" applyAlignment="1">
      <alignment vertical="center"/>
    </xf>
    <xf numFmtId="0" fontId="9" fillId="15" borderId="8" xfId="0" applyFont="1" applyFill="1" applyBorder="1" applyAlignment="1">
      <alignment vertical="center"/>
    </xf>
    <xf numFmtId="0" fontId="9" fillId="15" borderId="7" xfId="0" applyFont="1" applyFill="1" applyBorder="1" applyAlignment="1">
      <alignment vertical="center"/>
    </xf>
    <xf numFmtId="0" fontId="9" fillId="15" borderId="9" xfId="0" applyFont="1" applyFill="1" applyBorder="1" applyAlignment="1">
      <alignment vertical="center"/>
    </xf>
    <xf numFmtId="0" fontId="22" fillId="0" borderId="13" xfId="0" applyFont="1" applyBorder="1" applyAlignment="1">
      <alignment horizontal="center" vertical="center" wrapText="1" readingOrder="1"/>
    </xf>
    <xf numFmtId="0" fontId="22" fillId="2" borderId="3" xfId="0" applyFont="1" applyFill="1" applyBorder="1" applyAlignment="1">
      <alignment horizontal="left" vertical="center" wrapText="1" readingOrder="1"/>
    </xf>
    <xf numFmtId="0" fontId="22" fillId="0" borderId="3" xfId="0" applyFont="1" applyBorder="1" applyAlignment="1">
      <alignment horizontal="left" vertical="center" wrapText="1" readingOrder="1"/>
    </xf>
    <xf numFmtId="0" fontId="22" fillId="23" borderId="3" xfId="0" applyFont="1" applyFill="1" applyBorder="1" applyAlignment="1">
      <alignment horizontal="left" vertical="center" wrapText="1" readingOrder="1"/>
    </xf>
    <xf numFmtId="0" fontId="22" fillId="0" borderId="39" xfId="0" applyFont="1" applyBorder="1" applyAlignment="1">
      <alignment horizontal="left" vertical="center" wrapText="1" readingOrder="1"/>
    </xf>
    <xf numFmtId="0" fontId="28" fillId="12" borderId="3" xfId="0" applyFont="1" applyFill="1" applyBorder="1" applyAlignment="1">
      <alignment horizontal="left" vertical="top" wrapText="1" readingOrder="1"/>
    </xf>
    <xf numFmtId="0" fontId="28" fillId="12" borderId="0" xfId="0" applyFont="1" applyFill="1" applyAlignment="1">
      <alignment horizontal="left" vertical="top" wrapText="1" readingOrder="1"/>
    </xf>
    <xf numFmtId="0" fontId="29" fillId="12" borderId="3" xfId="0" applyFont="1" applyFill="1" applyBorder="1" applyAlignment="1">
      <alignment horizontal="left" vertical="top" wrapText="1" readingOrder="1"/>
    </xf>
    <xf numFmtId="0" fontId="29" fillId="12" borderId="0" xfId="0" applyFont="1" applyFill="1" applyAlignment="1">
      <alignment horizontal="left" vertical="top" wrapText="1" readingOrder="1"/>
    </xf>
    <xf numFmtId="0" fontId="29" fillId="3" borderId="3" xfId="0" applyFont="1" applyFill="1" applyBorder="1" applyAlignment="1">
      <alignment horizontal="left" vertical="center" wrapText="1" readingOrder="1"/>
    </xf>
    <xf numFmtId="0" fontId="11" fillId="12" borderId="3" xfId="0" applyFont="1" applyFill="1" applyBorder="1" applyAlignment="1">
      <alignment vertical="center"/>
    </xf>
    <xf numFmtId="0" fontId="9" fillId="6" borderId="14" xfId="0" applyFont="1" applyFill="1" applyBorder="1" applyAlignment="1">
      <alignment vertical="center"/>
    </xf>
    <xf numFmtId="0" fontId="9" fillId="6" borderId="6" xfId="0" applyFont="1" applyFill="1" applyBorder="1" applyAlignment="1">
      <alignment vertical="center"/>
    </xf>
    <xf numFmtId="0" fontId="9" fillId="6" borderId="11" xfId="0" applyFont="1" applyFill="1" applyBorder="1" applyAlignment="1">
      <alignment vertical="center"/>
    </xf>
    <xf numFmtId="0" fontId="11" fillId="3" borderId="3" xfId="0" applyFont="1" applyFill="1" applyBorder="1" applyAlignment="1">
      <alignment vertical="center"/>
    </xf>
    <xf numFmtId="0" fontId="17" fillId="10" borderId="79" xfId="4" applyFont="1" applyBorder="1" applyAlignment="1">
      <alignment horizontal="left" vertical="center" wrapText="1"/>
    </xf>
    <xf numFmtId="0" fontId="17" fillId="10" borderId="80" xfId="4" applyFont="1" applyBorder="1" applyAlignment="1">
      <alignment horizontal="left" vertical="center" wrapText="1"/>
    </xf>
    <xf numFmtId="0" fontId="11" fillId="11" borderId="0" xfId="0" applyFont="1" applyFill="1" applyAlignment="1">
      <alignment horizontal="left" vertical="center" wrapText="1"/>
    </xf>
    <xf numFmtId="0" fontId="11" fillId="0" borderId="0" xfId="3" applyNumberFormat="1" applyFont="1" applyFill="1" applyBorder="1" applyAlignment="1">
      <alignment horizontal="left" vertical="center" wrapText="1"/>
    </xf>
    <xf numFmtId="2" fontId="11" fillId="9" borderId="0" xfId="3" applyNumberFormat="1" applyFont="1" applyBorder="1" applyAlignment="1">
      <alignment horizontal="left" vertical="center"/>
    </xf>
    <xf numFmtId="2" fontId="25" fillId="3" borderId="26" xfId="0" applyNumberFormat="1" applyFont="1" applyFill="1" applyBorder="1" applyAlignment="1">
      <alignment horizontal="left" vertical="center" wrapText="1"/>
    </xf>
    <xf numFmtId="2" fontId="25" fillId="3" borderId="81" xfId="0" applyNumberFormat="1" applyFont="1" applyFill="1" applyBorder="1" applyAlignment="1">
      <alignment horizontal="left" vertical="center" wrapText="1"/>
    </xf>
    <xf numFmtId="0" fontId="25" fillId="11" borderId="0" xfId="3" applyNumberFormat="1" applyFont="1" applyFill="1" applyBorder="1" applyAlignment="1">
      <alignment horizontal="left" vertical="center"/>
    </xf>
    <xf numFmtId="0" fontId="25" fillId="11" borderId="12" xfId="3" applyNumberFormat="1" applyFont="1" applyFill="1" applyBorder="1" applyAlignment="1">
      <alignment horizontal="left" vertical="center"/>
    </xf>
    <xf numFmtId="0" fontId="25" fillId="3" borderId="0" xfId="3" applyNumberFormat="1" applyFont="1" applyFill="1" applyBorder="1" applyAlignment="1">
      <alignment horizontal="left" vertical="center"/>
    </xf>
    <xf numFmtId="0" fontId="25" fillId="3" borderId="12" xfId="3" applyNumberFormat="1" applyFont="1" applyFill="1" applyBorder="1" applyAlignment="1">
      <alignment horizontal="left" vertical="center"/>
    </xf>
    <xf numFmtId="0" fontId="25" fillId="11" borderId="0" xfId="1" applyNumberFormat="1" applyFont="1" applyFill="1" applyBorder="1" applyAlignment="1">
      <alignment horizontal="left" vertical="center"/>
    </xf>
    <xf numFmtId="0" fontId="25" fillId="11" borderId="12" xfId="1" applyNumberFormat="1" applyFont="1" applyFill="1" applyBorder="1" applyAlignment="1">
      <alignment horizontal="left" vertical="center"/>
    </xf>
    <xf numFmtId="0" fontId="11" fillId="3" borderId="2" xfId="3" quotePrefix="1" applyNumberFormat="1" applyFont="1" applyFill="1" applyBorder="1" applyAlignment="1">
      <alignment horizontal="left" vertical="center"/>
    </xf>
    <xf numFmtId="0" fontId="11" fillId="3" borderId="15" xfId="3" applyNumberFormat="1" applyFont="1" applyFill="1" applyBorder="1" applyAlignment="1">
      <alignment horizontal="left" vertical="center"/>
    </xf>
    <xf numFmtId="0" fontId="11" fillId="11" borderId="2" xfId="0" applyFont="1" applyFill="1" applyBorder="1" applyAlignment="1">
      <alignment horizontal="left" vertical="center" wrapText="1"/>
    </xf>
    <xf numFmtId="2" fontId="37" fillId="4" borderId="0" xfId="0" applyNumberFormat="1" applyFont="1" applyFill="1" applyAlignment="1">
      <alignment horizontal="left" vertical="center"/>
    </xf>
    <xf numFmtId="0" fontId="25" fillId="0" borderId="0" xfId="0" applyFont="1" applyAlignment="1">
      <alignment horizontal="left" vertical="center" wrapText="1"/>
    </xf>
    <xf numFmtId="0" fontId="13" fillId="17" borderId="0" xfId="0" applyFont="1" applyFill="1" applyAlignment="1">
      <alignment horizontal="left" vertical="center"/>
    </xf>
    <xf numFmtId="0" fontId="17" fillId="11" borderId="6" xfId="0" applyFont="1" applyFill="1" applyBorder="1" applyAlignment="1">
      <alignment vertical="center"/>
    </xf>
    <xf numFmtId="0" fontId="17" fillId="7" borderId="25" xfId="4" applyFont="1" applyFill="1" applyBorder="1" applyAlignment="1">
      <alignment horizontal="left" vertical="center" wrapText="1"/>
    </xf>
    <xf numFmtId="0" fontId="36" fillId="15" borderId="0" xfId="3" quotePrefix="1" applyFont="1" applyFill="1" applyBorder="1" applyAlignment="1">
      <alignment horizontal="left" vertical="center"/>
    </xf>
    <xf numFmtId="0" fontId="25" fillId="15" borderId="0" xfId="3" quotePrefix="1" applyFont="1" applyFill="1" applyBorder="1" applyAlignment="1">
      <alignment horizontal="left" vertical="center"/>
    </xf>
    <xf numFmtId="0" fontId="36" fillId="6" borderId="0" xfId="3" applyFont="1" applyFill="1" applyBorder="1" applyAlignment="1">
      <alignment horizontal="left" vertical="center"/>
    </xf>
    <xf numFmtId="0" fontId="25" fillId="6" borderId="0" xfId="3" applyFont="1" applyFill="1" applyBorder="1" applyAlignment="1">
      <alignment horizontal="left" vertical="center"/>
    </xf>
    <xf numFmtId="0" fontId="25" fillId="0" borderId="0" xfId="0" applyFont="1" applyAlignment="1">
      <alignment horizontal="left" vertical="center"/>
    </xf>
    <xf numFmtId="0" fontId="17" fillId="11" borderId="0" xfId="0" applyFont="1" applyFill="1" applyAlignment="1">
      <alignment vertical="center"/>
    </xf>
    <xf numFmtId="0" fontId="26" fillId="11" borderId="0" xfId="2" applyFont="1" applyFill="1" applyAlignment="1">
      <alignment vertical="center"/>
    </xf>
  </cellXfs>
  <cellStyles count="9">
    <cellStyle name="20 % - Farve1" xfId="8" builtinId="30"/>
    <cellStyle name="20 % - Farve3" xfId="3" builtinId="38"/>
    <cellStyle name="40 % - Farve3" xfId="4" builtinId="39"/>
    <cellStyle name="Beregning 2" xfId="6" xr:uid="{97E5E6FB-5252-4CE6-901A-EF1713EA8FDC}"/>
    <cellStyle name="God 2" xfId="7" xr:uid="{F3A06D04-35EE-47FA-839F-131470E44E06}"/>
    <cellStyle name="Komma" xfId="1" builtinId="3"/>
    <cellStyle name="Link" xfId="2" builtinId="8"/>
    <cellStyle name="Normal" xfId="0" builtinId="0"/>
    <cellStyle name="Procent" xfId="5" builtinId="5"/>
  </cellStyles>
  <dxfs count="0"/>
  <tableStyles count="0" defaultTableStyle="TableStyleMedium2" defaultPivotStyle="PivotStyleLight16"/>
  <colors>
    <mruColors>
      <color rgb="FF7990A5"/>
      <color rgb="FF3C6E87"/>
      <color rgb="FFC9D1DB"/>
      <color rgb="FFEDEDED"/>
      <color rgb="FFAF1E2D"/>
      <color rgb="FFA5BEB9"/>
      <color rgb="FFDBDBDB"/>
      <color rgb="FFE1E5EB"/>
      <color rgb="FFF0F0F0"/>
      <color rgb="FF99A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A4721F7E-E93B-40B1-8DA3-79EAEBC7F696}"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da-DK"/>
        </a:p>
      </dgm:t>
    </dgm:pt>
    <dgm:pt modelId="{0BBD1850-5827-4760-85DB-C7C85D885F82}">
      <dgm:prSet phldrT="[Tekst]" custT="1"/>
      <dgm:spPr>
        <a:solidFill>
          <a:srgbClr val="EDEDED"/>
        </a:solidFill>
      </dgm:spPr>
      <dgm:t>
        <a:bodyPr anchor="t"/>
        <a:lstStyle/>
        <a:p>
          <a:pPr algn="l"/>
          <a:r>
            <a:rPr lang="da-DK" sz="1400" b="1">
              <a:solidFill>
                <a:sysClr val="windowText" lastClr="000000"/>
              </a:solidFill>
            </a:rPr>
            <a:t>1. Scope</a:t>
          </a:r>
        </a:p>
      </dgm:t>
    </dgm:pt>
    <dgm:pt modelId="{D4CBA652-23E6-40FF-B65D-15B38E3A28F2}" type="parTrans" cxnId="{3F8637A4-C23F-4BED-89A1-BE20E644AC1E}">
      <dgm:prSet/>
      <dgm:spPr/>
      <dgm:t>
        <a:bodyPr/>
        <a:lstStyle/>
        <a:p>
          <a:endParaRPr lang="da-DK"/>
        </a:p>
      </dgm:t>
    </dgm:pt>
    <dgm:pt modelId="{B9CD5067-4470-46C9-A86B-E7A031AA9464}" type="sibTrans" cxnId="{3F8637A4-C23F-4BED-89A1-BE20E644AC1E}">
      <dgm:prSet/>
      <dgm:spPr>
        <a:solidFill>
          <a:srgbClr val="AF1E2D"/>
        </a:solidFill>
      </dgm:spPr>
      <dgm:t>
        <a:bodyPr/>
        <a:lstStyle/>
        <a:p>
          <a:endParaRPr lang="da-DK"/>
        </a:p>
      </dgm:t>
    </dgm:pt>
    <dgm:pt modelId="{2827A30D-D6FA-4C42-BFDE-EC155341A649}">
      <dgm:prSet phldrT="[Tekst]" custT="1"/>
      <dgm:spPr>
        <a:solidFill>
          <a:srgbClr val="EDEDED"/>
        </a:solidFill>
      </dgm:spPr>
      <dgm:t>
        <a:bodyPr/>
        <a:lstStyle/>
        <a:p>
          <a:pPr algn="l"/>
          <a:r>
            <a:rPr lang="da-DK" sz="1400" b="1">
              <a:solidFill>
                <a:sysClr val="windowText" lastClr="000000"/>
              </a:solidFill>
            </a:rPr>
            <a:t>2. Scale</a:t>
          </a:r>
        </a:p>
      </dgm:t>
    </dgm:pt>
    <dgm:pt modelId="{5C0F2C80-3227-464E-8875-C5C2F14D877C}" type="parTrans" cxnId="{32F5462A-F6C2-48A2-99DA-0471B6BF3735}">
      <dgm:prSet/>
      <dgm:spPr/>
      <dgm:t>
        <a:bodyPr/>
        <a:lstStyle/>
        <a:p>
          <a:endParaRPr lang="da-DK"/>
        </a:p>
      </dgm:t>
    </dgm:pt>
    <dgm:pt modelId="{67232928-560C-465E-BD2C-A0B7E07FAD49}" type="sibTrans" cxnId="{32F5462A-F6C2-48A2-99DA-0471B6BF3735}">
      <dgm:prSet/>
      <dgm:spPr>
        <a:solidFill>
          <a:srgbClr val="AF1E2D"/>
        </a:solidFill>
      </dgm:spPr>
      <dgm:t>
        <a:bodyPr/>
        <a:lstStyle/>
        <a:p>
          <a:endParaRPr lang="da-DK"/>
        </a:p>
      </dgm:t>
    </dgm:pt>
    <dgm:pt modelId="{D726396E-B255-4CA2-BDF2-18C5F6658B4F}">
      <dgm:prSet phldrT="[Tekst]" custT="1"/>
      <dgm:spPr/>
      <dgm:t>
        <a:bodyPr anchor="ctr"/>
        <a:lstStyle/>
        <a:p>
          <a:pPr algn="l"/>
          <a:r>
            <a:rPr lang="da-DK" sz="1000">
              <a:solidFill>
                <a:sysClr val="windowText" lastClr="000000"/>
              </a:solidFill>
            </a:rPr>
            <a:t>Identification of composition of portfolio in the group </a:t>
          </a:r>
        </a:p>
      </dgm:t>
    </dgm:pt>
    <dgm:pt modelId="{A25450B5-73F4-4C90-9D22-1BE30B712AEB}" type="parTrans" cxnId="{57C5642C-A4F0-48C8-A779-E99120E67DFE}">
      <dgm:prSet/>
      <dgm:spPr/>
      <dgm:t>
        <a:bodyPr/>
        <a:lstStyle/>
        <a:p>
          <a:endParaRPr lang="da-DK"/>
        </a:p>
      </dgm:t>
    </dgm:pt>
    <dgm:pt modelId="{8A1CAB27-2842-4EE0-BF8F-AA12A8C90783}" type="sibTrans" cxnId="{57C5642C-A4F0-48C8-A779-E99120E67DFE}">
      <dgm:prSet/>
      <dgm:spPr/>
      <dgm:t>
        <a:bodyPr/>
        <a:lstStyle/>
        <a:p>
          <a:endParaRPr lang="da-DK"/>
        </a:p>
      </dgm:t>
    </dgm:pt>
    <dgm:pt modelId="{E733F4DF-F7AD-46A1-B050-12DE2B255890}">
      <dgm:prSet custT="1"/>
      <dgm:spPr>
        <a:solidFill>
          <a:srgbClr val="EDEDED"/>
        </a:solidFill>
      </dgm:spPr>
      <dgm:t>
        <a:bodyPr/>
        <a:lstStyle/>
        <a:p>
          <a:pPr algn="l"/>
          <a:r>
            <a:rPr lang="da-DK" sz="1400" b="1">
              <a:solidFill>
                <a:sysClr val="windowText" lastClr="000000"/>
              </a:solidFill>
            </a:rPr>
            <a:t>4. Impact</a:t>
          </a:r>
        </a:p>
      </dgm:t>
    </dgm:pt>
    <dgm:pt modelId="{F627E4FB-65BF-4493-BB25-CE8298DAB6C2}" type="parTrans" cxnId="{D20BEE59-652E-4F66-B17E-F49F7D19C395}">
      <dgm:prSet/>
      <dgm:spPr/>
      <dgm:t>
        <a:bodyPr/>
        <a:lstStyle/>
        <a:p>
          <a:endParaRPr lang="da-DK"/>
        </a:p>
      </dgm:t>
    </dgm:pt>
    <dgm:pt modelId="{A314E581-96AD-44DD-998A-5B45913AF802}" type="sibTrans" cxnId="{D20BEE59-652E-4F66-B17E-F49F7D19C395}">
      <dgm:prSet/>
      <dgm:spPr>
        <a:solidFill>
          <a:srgbClr val="AF1E2D"/>
        </a:solidFill>
      </dgm:spPr>
      <dgm:t>
        <a:bodyPr/>
        <a:lstStyle/>
        <a:p>
          <a:endParaRPr lang="da-DK"/>
        </a:p>
      </dgm:t>
    </dgm:pt>
    <dgm:pt modelId="{0E545AE3-5267-445F-BA03-02A4A5C5FD6D}">
      <dgm:prSet custT="1"/>
      <dgm:spPr>
        <a:solidFill>
          <a:srgbClr val="EDEDED"/>
        </a:solidFill>
      </dgm:spPr>
      <dgm:t>
        <a:bodyPr/>
        <a:lstStyle/>
        <a:p>
          <a:pPr algn="l"/>
          <a:r>
            <a:rPr lang="da-DK" sz="1400" b="1">
              <a:solidFill>
                <a:sysClr val="windowText" lastClr="000000"/>
              </a:solidFill>
            </a:rPr>
            <a:t>5. Performance</a:t>
          </a:r>
        </a:p>
      </dgm:t>
    </dgm:pt>
    <dgm:pt modelId="{4B02B955-02A3-41EE-B81F-8D3E1F6A971C}" type="parTrans" cxnId="{080E6064-889E-42CA-9F0E-9972F92F5E0D}">
      <dgm:prSet/>
      <dgm:spPr/>
      <dgm:t>
        <a:bodyPr/>
        <a:lstStyle/>
        <a:p>
          <a:endParaRPr lang="da-DK"/>
        </a:p>
      </dgm:t>
    </dgm:pt>
    <dgm:pt modelId="{44190701-B1A3-48F6-A897-2395DDC8C12A}" type="sibTrans" cxnId="{080E6064-889E-42CA-9F0E-9972F92F5E0D}">
      <dgm:prSet/>
      <dgm:spPr/>
      <dgm:t>
        <a:bodyPr/>
        <a:lstStyle/>
        <a:p>
          <a:endParaRPr lang="da-DK"/>
        </a:p>
      </dgm:t>
    </dgm:pt>
    <dgm:pt modelId="{2E50FDFD-2014-432C-96DA-61E332C1766C}">
      <dgm:prSet custT="1"/>
      <dgm:spPr>
        <a:solidFill>
          <a:srgbClr val="EDEDED"/>
        </a:solidFill>
      </dgm:spPr>
      <dgm:t>
        <a:bodyPr anchor="ctr"/>
        <a:lstStyle/>
        <a:p>
          <a:pPr algn="l"/>
          <a:r>
            <a:rPr lang="da-DK" sz="1000">
              <a:solidFill>
                <a:sysClr val="windowText" lastClr="000000"/>
              </a:solidFill>
            </a:rPr>
            <a:t>Identification of potential impact areas in Arbejdernes Landsbank </a:t>
          </a:r>
        </a:p>
      </dgm:t>
    </dgm:pt>
    <dgm:pt modelId="{98361001-CD3D-4215-B83A-9228FBACFEC2}" type="parTrans" cxnId="{1FA1E1D7-7326-4204-A346-061C76B43FD5}">
      <dgm:prSet/>
      <dgm:spPr/>
      <dgm:t>
        <a:bodyPr/>
        <a:lstStyle/>
        <a:p>
          <a:endParaRPr lang="da-DK"/>
        </a:p>
      </dgm:t>
    </dgm:pt>
    <dgm:pt modelId="{1BFB1ACB-3D05-4274-BF3B-B0055D9D4197}" type="sibTrans" cxnId="{1FA1E1D7-7326-4204-A346-061C76B43FD5}">
      <dgm:prSet/>
      <dgm:spPr/>
      <dgm:t>
        <a:bodyPr/>
        <a:lstStyle/>
        <a:p>
          <a:endParaRPr lang="da-DK"/>
        </a:p>
      </dgm:t>
    </dgm:pt>
    <dgm:pt modelId="{96E2A57B-D4F5-4ACA-AA4A-175A54C98D7D}">
      <dgm:prSet custT="1"/>
      <dgm:spPr>
        <a:solidFill>
          <a:srgbClr val="EDEDED"/>
        </a:solidFill>
      </dgm:spPr>
      <dgm:t>
        <a:bodyPr anchor="ctr"/>
        <a:lstStyle/>
        <a:p>
          <a:pPr algn="l"/>
          <a:r>
            <a:rPr lang="da-DK" sz="1000">
              <a:solidFill>
                <a:sysClr val="windowText" lastClr="000000"/>
              </a:solidFill>
            </a:rPr>
            <a:t>Quantification of the most important impact area in Arbejdernes Landsbank</a:t>
          </a:r>
        </a:p>
      </dgm:t>
    </dgm:pt>
    <dgm:pt modelId="{73A5AF3E-4C59-4DAD-BC52-65984905C5A8}" type="parTrans" cxnId="{38A5C5CB-EC36-4262-8CB4-2572F18FD6D8}">
      <dgm:prSet/>
      <dgm:spPr/>
      <dgm:t>
        <a:bodyPr/>
        <a:lstStyle/>
        <a:p>
          <a:endParaRPr lang="da-DK"/>
        </a:p>
      </dgm:t>
    </dgm:pt>
    <dgm:pt modelId="{D3944DEB-B182-4295-A53B-981F49C68867}" type="sibTrans" cxnId="{38A5C5CB-EC36-4262-8CB4-2572F18FD6D8}">
      <dgm:prSet/>
      <dgm:spPr/>
      <dgm:t>
        <a:bodyPr/>
        <a:lstStyle/>
        <a:p>
          <a:endParaRPr lang="da-DK"/>
        </a:p>
      </dgm:t>
    </dgm:pt>
    <dgm:pt modelId="{D5D81A1A-DA16-4EA7-A0A2-B12F6FED8085}">
      <dgm:prSet phldrT="[Tekst]" custT="1"/>
      <dgm:spPr>
        <a:solidFill>
          <a:srgbClr val="EDEDED"/>
        </a:solidFill>
      </dgm:spPr>
      <dgm:t>
        <a:bodyPr/>
        <a:lstStyle/>
        <a:p>
          <a:pPr algn="l"/>
          <a:r>
            <a:rPr lang="da-DK" sz="1400" b="1">
              <a:solidFill>
                <a:sysClr val="windowText" lastClr="000000"/>
              </a:solidFill>
            </a:rPr>
            <a:t>3. Context</a:t>
          </a:r>
        </a:p>
      </dgm:t>
    </dgm:pt>
    <dgm:pt modelId="{E32724CA-7F95-4B6A-8BF3-149B77715BCD}" type="parTrans" cxnId="{FF32C39E-15BF-4898-BA5A-3832CD238F9B}">
      <dgm:prSet/>
      <dgm:spPr/>
      <dgm:t>
        <a:bodyPr/>
        <a:lstStyle/>
        <a:p>
          <a:endParaRPr lang="da-DK"/>
        </a:p>
      </dgm:t>
    </dgm:pt>
    <dgm:pt modelId="{FCE90009-8CC5-4450-B206-23CF393DC5E6}" type="sibTrans" cxnId="{FF32C39E-15BF-4898-BA5A-3832CD238F9B}">
      <dgm:prSet/>
      <dgm:spPr>
        <a:solidFill>
          <a:srgbClr val="AF1E2D"/>
        </a:solidFill>
      </dgm:spPr>
      <dgm:t>
        <a:bodyPr/>
        <a:lstStyle/>
        <a:p>
          <a:endParaRPr lang="da-DK"/>
        </a:p>
      </dgm:t>
    </dgm:pt>
    <dgm:pt modelId="{9F6CA1E7-B03B-4701-B2C1-FBEF650F6C82}">
      <dgm:prSet phldrT="[Tekst]" custT="1"/>
      <dgm:spPr/>
      <dgm:t>
        <a:bodyPr anchor="ctr"/>
        <a:lstStyle/>
        <a:p>
          <a:pPr algn="l"/>
          <a:r>
            <a:rPr lang="da-DK" sz="1000">
              <a:solidFill>
                <a:sysClr val="windowText" lastClr="000000"/>
              </a:solidFill>
            </a:rPr>
            <a:t>Relevance to the context in which Arbejdernes Landsbank operates in</a:t>
          </a:r>
        </a:p>
      </dgm:t>
    </dgm:pt>
    <dgm:pt modelId="{EDC061F2-2B0C-4CD4-A97F-EEDF8875B61F}" type="parTrans" cxnId="{4BFF3DB4-9874-4D2B-BC37-DFA8A72BF71C}">
      <dgm:prSet/>
      <dgm:spPr/>
      <dgm:t>
        <a:bodyPr/>
        <a:lstStyle/>
        <a:p>
          <a:endParaRPr lang="da-DK"/>
        </a:p>
      </dgm:t>
    </dgm:pt>
    <dgm:pt modelId="{3069A82A-025E-40A5-8F1D-B99B5876B3C1}" type="sibTrans" cxnId="{4BFF3DB4-9874-4D2B-BC37-DFA8A72BF71C}">
      <dgm:prSet/>
      <dgm:spPr/>
      <dgm:t>
        <a:bodyPr/>
        <a:lstStyle/>
        <a:p>
          <a:endParaRPr lang="da-DK"/>
        </a:p>
      </dgm:t>
    </dgm:pt>
    <dgm:pt modelId="{5DDEC32C-B9A6-4DDF-A820-3A5DA4FEE458}">
      <dgm:prSet phldrT="[Tekst]" custT="1"/>
      <dgm:spPr/>
      <dgm:t>
        <a:bodyPr anchor="ctr"/>
        <a:lstStyle/>
        <a:p>
          <a:pPr algn="l"/>
          <a:r>
            <a:rPr lang="da-DK" sz="1000">
              <a:solidFill>
                <a:sysClr val="windowText" lastClr="000000"/>
              </a:solidFill>
            </a:rPr>
            <a:t>Main activities in Arbejdernes Landsbank </a:t>
          </a:r>
        </a:p>
      </dgm:t>
    </dgm:pt>
    <dgm:pt modelId="{808C1073-7059-494F-AECA-3485A544EB5A}" type="sibTrans" cxnId="{5E9ED5F6-CC9B-4A59-9C97-AB3823958EA0}">
      <dgm:prSet/>
      <dgm:spPr/>
      <dgm:t>
        <a:bodyPr/>
        <a:lstStyle/>
        <a:p>
          <a:endParaRPr lang="da-DK"/>
        </a:p>
      </dgm:t>
    </dgm:pt>
    <dgm:pt modelId="{6FC61A3A-55CF-45E3-BA2D-B329F43CF36A}" type="parTrans" cxnId="{5E9ED5F6-CC9B-4A59-9C97-AB3823958EA0}">
      <dgm:prSet/>
      <dgm:spPr/>
      <dgm:t>
        <a:bodyPr/>
        <a:lstStyle/>
        <a:p>
          <a:endParaRPr lang="da-DK"/>
        </a:p>
      </dgm:t>
    </dgm:pt>
    <dgm:pt modelId="{70CC549D-8264-4F26-99BC-D79C4C0184CB}" type="pres">
      <dgm:prSet presAssocID="{A4721F7E-E93B-40B1-8DA3-79EAEBC7F696}" presName="Name0" presStyleCnt="0">
        <dgm:presLayoutVars>
          <dgm:dir/>
          <dgm:resizeHandles val="exact"/>
        </dgm:presLayoutVars>
      </dgm:prSet>
      <dgm:spPr/>
    </dgm:pt>
    <dgm:pt modelId="{224398FD-4CEB-43EC-8936-A14261EFA0F5}" type="pres">
      <dgm:prSet presAssocID="{0BBD1850-5827-4760-85DB-C7C85D885F82}" presName="node" presStyleLbl="node1" presStyleIdx="0" presStyleCnt="5">
        <dgm:presLayoutVars>
          <dgm:bulletEnabled val="1"/>
        </dgm:presLayoutVars>
      </dgm:prSet>
      <dgm:spPr/>
    </dgm:pt>
    <dgm:pt modelId="{D803392C-8B36-448D-A085-68BE270A8412}" type="pres">
      <dgm:prSet presAssocID="{B9CD5067-4470-46C9-A86B-E7A031AA9464}" presName="sibTrans" presStyleLbl="sibTrans2D1" presStyleIdx="0" presStyleCnt="4"/>
      <dgm:spPr/>
    </dgm:pt>
    <dgm:pt modelId="{06CF315E-4E04-41BA-82DC-60145CAA74F1}" type="pres">
      <dgm:prSet presAssocID="{B9CD5067-4470-46C9-A86B-E7A031AA9464}" presName="connectorText" presStyleLbl="sibTrans2D1" presStyleIdx="0" presStyleCnt="4"/>
      <dgm:spPr/>
    </dgm:pt>
    <dgm:pt modelId="{2ADB5DF2-20D0-4223-B666-54C0479B48D8}" type="pres">
      <dgm:prSet presAssocID="{2827A30D-D6FA-4C42-BFDE-EC155341A649}" presName="node" presStyleLbl="node1" presStyleIdx="1" presStyleCnt="5">
        <dgm:presLayoutVars>
          <dgm:bulletEnabled val="1"/>
        </dgm:presLayoutVars>
      </dgm:prSet>
      <dgm:spPr/>
    </dgm:pt>
    <dgm:pt modelId="{1C47B827-817F-4BB6-A8A9-3A93A505CDCB}" type="pres">
      <dgm:prSet presAssocID="{67232928-560C-465E-BD2C-A0B7E07FAD49}" presName="sibTrans" presStyleLbl="sibTrans2D1" presStyleIdx="1" presStyleCnt="4"/>
      <dgm:spPr/>
    </dgm:pt>
    <dgm:pt modelId="{6ACA1226-8BB0-41EC-8C53-55EC6D5BA981}" type="pres">
      <dgm:prSet presAssocID="{67232928-560C-465E-BD2C-A0B7E07FAD49}" presName="connectorText" presStyleLbl="sibTrans2D1" presStyleIdx="1" presStyleCnt="4"/>
      <dgm:spPr/>
    </dgm:pt>
    <dgm:pt modelId="{9FD67D1C-CF56-4EAC-8448-282996090792}" type="pres">
      <dgm:prSet presAssocID="{D5D81A1A-DA16-4EA7-A0A2-B12F6FED8085}" presName="node" presStyleLbl="node1" presStyleIdx="2" presStyleCnt="5">
        <dgm:presLayoutVars>
          <dgm:bulletEnabled val="1"/>
        </dgm:presLayoutVars>
      </dgm:prSet>
      <dgm:spPr/>
    </dgm:pt>
    <dgm:pt modelId="{3F66EFE5-E9C4-4B0F-B020-D083DCCEE142}" type="pres">
      <dgm:prSet presAssocID="{FCE90009-8CC5-4450-B206-23CF393DC5E6}" presName="sibTrans" presStyleLbl="sibTrans2D1" presStyleIdx="2" presStyleCnt="4"/>
      <dgm:spPr/>
    </dgm:pt>
    <dgm:pt modelId="{34477F6E-79B7-4DE4-A0F3-39F9C84A045E}" type="pres">
      <dgm:prSet presAssocID="{FCE90009-8CC5-4450-B206-23CF393DC5E6}" presName="connectorText" presStyleLbl="sibTrans2D1" presStyleIdx="2" presStyleCnt="4"/>
      <dgm:spPr/>
    </dgm:pt>
    <dgm:pt modelId="{91CADBF6-26CD-4FC1-8DDC-B4AEF7473C17}" type="pres">
      <dgm:prSet presAssocID="{E733F4DF-F7AD-46A1-B050-12DE2B255890}" presName="node" presStyleLbl="node1" presStyleIdx="3" presStyleCnt="5">
        <dgm:presLayoutVars>
          <dgm:bulletEnabled val="1"/>
        </dgm:presLayoutVars>
      </dgm:prSet>
      <dgm:spPr/>
    </dgm:pt>
    <dgm:pt modelId="{4176FC87-2D0D-476F-A03C-F23494C0EE96}" type="pres">
      <dgm:prSet presAssocID="{A314E581-96AD-44DD-998A-5B45913AF802}" presName="sibTrans" presStyleLbl="sibTrans2D1" presStyleIdx="3" presStyleCnt="4"/>
      <dgm:spPr/>
    </dgm:pt>
    <dgm:pt modelId="{92434B11-1172-4C21-9116-5FBAA657997E}" type="pres">
      <dgm:prSet presAssocID="{A314E581-96AD-44DD-998A-5B45913AF802}" presName="connectorText" presStyleLbl="sibTrans2D1" presStyleIdx="3" presStyleCnt="4"/>
      <dgm:spPr/>
    </dgm:pt>
    <dgm:pt modelId="{8B999729-95E1-486D-9AD1-2765A332A8C5}" type="pres">
      <dgm:prSet presAssocID="{0E545AE3-5267-445F-BA03-02A4A5C5FD6D}" presName="node" presStyleLbl="node1" presStyleIdx="4" presStyleCnt="5">
        <dgm:presLayoutVars>
          <dgm:bulletEnabled val="1"/>
        </dgm:presLayoutVars>
      </dgm:prSet>
      <dgm:spPr/>
    </dgm:pt>
  </dgm:ptLst>
  <dgm:cxnLst>
    <dgm:cxn modelId="{E0484404-90BA-4A6D-839E-D2CBC83AE91F}" type="presOf" srcId="{2827A30D-D6FA-4C42-BFDE-EC155341A649}" destId="{2ADB5DF2-20D0-4223-B666-54C0479B48D8}" srcOrd="0" destOrd="0" presId="urn:microsoft.com/office/officeart/2005/8/layout/process1"/>
    <dgm:cxn modelId="{F79F1315-F4D2-47E4-9EBE-AFFA650A9DCA}" type="presOf" srcId="{67232928-560C-465E-BD2C-A0B7E07FAD49}" destId="{1C47B827-817F-4BB6-A8A9-3A93A505CDCB}" srcOrd="0" destOrd="0" presId="urn:microsoft.com/office/officeart/2005/8/layout/process1"/>
    <dgm:cxn modelId="{7506661D-4A00-4151-9347-8478F0D3ED6C}" type="presOf" srcId="{D726396E-B255-4CA2-BDF2-18C5F6658B4F}" destId="{2ADB5DF2-20D0-4223-B666-54C0479B48D8}" srcOrd="0" destOrd="1" presId="urn:microsoft.com/office/officeart/2005/8/layout/process1"/>
    <dgm:cxn modelId="{1B28AC23-A837-4C68-9CB5-D0B28D12A2F6}" type="presOf" srcId="{A314E581-96AD-44DD-998A-5B45913AF802}" destId="{4176FC87-2D0D-476F-A03C-F23494C0EE96}" srcOrd="0" destOrd="0" presId="urn:microsoft.com/office/officeart/2005/8/layout/process1"/>
    <dgm:cxn modelId="{32F5462A-F6C2-48A2-99DA-0471B6BF3735}" srcId="{A4721F7E-E93B-40B1-8DA3-79EAEBC7F696}" destId="{2827A30D-D6FA-4C42-BFDE-EC155341A649}" srcOrd="1" destOrd="0" parTransId="{5C0F2C80-3227-464E-8875-C5C2F14D877C}" sibTransId="{67232928-560C-465E-BD2C-A0B7E07FAD49}"/>
    <dgm:cxn modelId="{57C5642C-A4F0-48C8-A779-E99120E67DFE}" srcId="{2827A30D-D6FA-4C42-BFDE-EC155341A649}" destId="{D726396E-B255-4CA2-BDF2-18C5F6658B4F}" srcOrd="0" destOrd="0" parTransId="{A25450B5-73F4-4C90-9D22-1BE30B712AEB}" sibTransId="{8A1CAB27-2842-4EE0-BF8F-AA12A8C90783}"/>
    <dgm:cxn modelId="{AD46793C-B406-4976-A83A-468D04ACEBD3}" type="presOf" srcId="{67232928-560C-465E-BD2C-A0B7E07FAD49}" destId="{6ACA1226-8BB0-41EC-8C53-55EC6D5BA981}" srcOrd="1" destOrd="0" presId="urn:microsoft.com/office/officeart/2005/8/layout/process1"/>
    <dgm:cxn modelId="{DB0D555F-5F38-4D97-81D1-934A17D06548}" type="presOf" srcId="{2E50FDFD-2014-432C-96DA-61E332C1766C}" destId="{91CADBF6-26CD-4FC1-8DDC-B4AEF7473C17}" srcOrd="0" destOrd="1" presId="urn:microsoft.com/office/officeart/2005/8/layout/process1"/>
    <dgm:cxn modelId="{A1B87761-4816-4CF0-AAF4-CE8A0452D4E4}" type="presOf" srcId="{A314E581-96AD-44DD-998A-5B45913AF802}" destId="{92434B11-1172-4C21-9116-5FBAA657997E}" srcOrd="1" destOrd="0" presId="urn:microsoft.com/office/officeart/2005/8/layout/process1"/>
    <dgm:cxn modelId="{080E6064-889E-42CA-9F0E-9972F92F5E0D}" srcId="{A4721F7E-E93B-40B1-8DA3-79EAEBC7F696}" destId="{0E545AE3-5267-445F-BA03-02A4A5C5FD6D}" srcOrd="4" destOrd="0" parTransId="{4B02B955-02A3-41EE-B81F-8D3E1F6A971C}" sibTransId="{44190701-B1A3-48F6-A897-2395DDC8C12A}"/>
    <dgm:cxn modelId="{4E46184B-D427-47B3-B2AE-A7EE5608B8FE}" type="presOf" srcId="{A4721F7E-E93B-40B1-8DA3-79EAEBC7F696}" destId="{70CC549D-8264-4F26-99BC-D79C4C0184CB}" srcOrd="0" destOrd="0" presId="urn:microsoft.com/office/officeart/2005/8/layout/process1"/>
    <dgm:cxn modelId="{6712E075-9454-4F6B-938C-5C8AC10CBE08}" type="presOf" srcId="{FCE90009-8CC5-4450-B206-23CF393DC5E6}" destId="{34477F6E-79B7-4DE4-A0F3-39F9C84A045E}" srcOrd="1" destOrd="0" presId="urn:microsoft.com/office/officeart/2005/8/layout/process1"/>
    <dgm:cxn modelId="{D20BEE59-652E-4F66-B17E-F49F7D19C395}" srcId="{A4721F7E-E93B-40B1-8DA3-79EAEBC7F696}" destId="{E733F4DF-F7AD-46A1-B050-12DE2B255890}" srcOrd="3" destOrd="0" parTransId="{F627E4FB-65BF-4493-BB25-CE8298DAB6C2}" sibTransId="{A314E581-96AD-44DD-998A-5B45913AF802}"/>
    <dgm:cxn modelId="{9959D35A-2D47-4088-B7EF-441649E3EE0C}" type="presOf" srcId="{9F6CA1E7-B03B-4701-B2C1-FBEF650F6C82}" destId="{9FD67D1C-CF56-4EAC-8448-282996090792}" srcOrd="0" destOrd="1" presId="urn:microsoft.com/office/officeart/2005/8/layout/process1"/>
    <dgm:cxn modelId="{324D777D-352D-4818-97BB-FB73C4ED2359}" type="presOf" srcId="{B9CD5067-4470-46C9-A86B-E7A031AA9464}" destId="{06CF315E-4E04-41BA-82DC-60145CAA74F1}" srcOrd="1" destOrd="0" presId="urn:microsoft.com/office/officeart/2005/8/layout/process1"/>
    <dgm:cxn modelId="{E6CD6D88-F4F1-4A3F-9023-0F7E3B4B94D2}" type="presOf" srcId="{96E2A57B-D4F5-4ACA-AA4A-175A54C98D7D}" destId="{8B999729-95E1-486D-9AD1-2765A332A8C5}" srcOrd="0" destOrd="1" presId="urn:microsoft.com/office/officeart/2005/8/layout/process1"/>
    <dgm:cxn modelId="{FF32C39E-15BF-4898-BA5A-3832CD238F9B}" srcId="{A4721F7E-E93B-40B1-8DA3-79EAEBC7F696}" destId="{D5D81A1A-DA16-4EA7-A0A2-B12F6FED8085}" srcOrd="2" destOrd="0" parTransId="{E32724CA-7F95-4B6A-8BF3-149B77715BCD}" sibTransId="{FCE90009-8CC5-4450-B206-23CF393DC5E6}"/>
    <dgm:cxn modelId="{3F8637A4-C23F-4BED-89A1-BE20E644AC1E}" srcId="{A4721F7E-E93B-40B1-8DA3-79EAEBC7F696}" destId="{0BBD1850-5827-4760-85DB-C7C85D885F82}" srcOrd="0" destOrd="0" parTransId="{D4CBA652-23E6-40FF-B65D-15B38E3A28F2}" sibTransId="{B9CD5067-4470-46C9-A86B-E7A031AA9464}"/>
    <dgm:cxn modelId="{4BFF3DB4-9874-4D2B-BC37-DFA8A72BF71C}" srcId="{D5D81A1A-DA16-4EA7-A0A2-B12F6FED8085}" destId="{9F6CA1E7-B03B-4701-B2C1-FBEF650F6C82}" srcOrd="0" destOrd="0" parTransId="{EDC061F2-2B0C-4CD4-A97F-EEDF8875B61F}" sibTransId="{3069A82A-025E-40A5-8F1D-B99B5876B3C1}"/>
    <dgm:cxn modelId="{8AFCC5BA-2619-401E-9918-29BA19EF4463}" type="presOf" srcId="{0E545AE3-5267-445F-BA03-02A4A5C5FD6D}" destId="{8B999729-95E1-486D-9AD1-2765A332A8C5}" srcOrd="0" destOrd="0" presId="urn:microsoft.com/office/officeart/2005/8/layout/process1"/>
    <dgm:cxn modelId="{9577DAC2-96E1-492F-9812-B71B3F7EE878}" type="presOf" srcId="{B9CD5067-4470-46C9-A86B-E7A031AA9464}" destId="{D803392C-8B36-448D-A085-68BE270A8412}" srcOrd="0" destOrd="0" presId="urn:microsoft.com/office/officeart/2005/8/layout/process1"/>
    <dgm:cxn modelId="{38A5C5CB-EC36-4262-8CB4-2572F18FD6D8}" srcId="{0E545AE3-5267-445F-BA03-02A4A5C5FD6D}" destId="{96E2A57B-D4F5-4ACA-AA4A-175A54C98D7D}" srcOrd="0" destOrd="0" parTransId="{73A5AF3E-4C59-4DAD-BC52-65984905C5A8}" sibTransId="{D3944DEB-B182-4295-A53B-981F49C68867}"/>
    <dgm:cxn modelId="{C714BDCD-3859-44E9-A056-CE589F2C1D6A}" type="presOf" srcId="{FCE90009-8CC5-4450-B206-23CF393DC5E6}" destId="{3F66EFE5-E9C4-4B0F-B020-D083DCCEE142}" srcOrd="0" destOrd="0" presId="urn:microsoft.com/office/officeart/2005/8/layout/process1"/>
    <dgm:cxn modelId="{9F769BD0-FB29-4392-8555-D673C51446B3}" type="presOf" srcId="{0BBD1850-5827-4760-85DB-C7C85D885F82}" destId="{224398FD-4CEB-43EC-8936-A14261EFA0F5}" srcOrd="0" destOrd="0" presId="urn:microsoft.com/office/officeart/2005/8/layout/process1"/>
    <dgm:cxn modelId="{7343C8D6-87E7-4CFF-B77B-479777AB2DBC}" type="presOf" srcId="{5DDEC32C-B9A6-4DDF-A820-3A5DA4FEE458}" destId="{224398FD-4CEB-43EC-8936-A14261EFA0F5}" srcOrd="0" destOrd="1" presId="urn:microsoft.com/office/officeart/2005/8/layout/process1"/>
    <dgm:cxn modelId="{1FA1E1D7-7326-4204-A346-061C76B43FD5}" srcId="{E733F4DF-F7AD-46A1-B050-12DE2B255890}" destId="{2E50FDFD-2014-432C-96DA-61E332C1766C}" srcOrd="0" destOrd="0" parTransId="{98361001-CD3D-4215-B83A-9228FBACFEC2}" sibTransId="{1BFB1ACB-3D05-4274-BF3B-B0055D9D4197}"/>
    <dgm:cxn modelId="{829D07DC-764B-4057-9D16-0C92179CF170}" type="presOf" srcId="{D5D81A1A-DA16-4EA7-A0A2-B12F6FED8085}" destId="{9FD67D1C-CF56-4EAC-8448-282996090792}" srcOrd="0" destOrd="0" presId="urn:microsoft.com/office/officeart/2005/8/layout/process1"/>
    <dgm:cxn modelId="{5E9ED5F6-CC9B-4A59-9C97-AB3823958EA0}" srcId="{0BBD1850-5827-4760-85DB-C7C85D885F82}" destId="{5DDEC32C-B9A6-4DDF-A820-3A5DA4FEE458}" srcOrd="0" destOrd="0" parTransId="{6FC61A3A-55CF-45E3-BA2D-B329F43CF36A}" sibTransId="{808C1073-7059-494F-AECA-3485A544EB5A}"/>
    <dgm:cxn modelId="{E7E478FF-1A9B-419A-BBB3-5C4189849AA6}" type="presOf" srcId="{E733F4DF-F7AD-46A1-B050-12DE2B255890}" destId="{91CADBF6-26CD-4FC1-8DDC-B4AEF7473C17}" srcOrd="0" destOrd="0" presId="urn:microsoft.com/office/officeart/2005/8/layout/process1"/>
    <dgm:cxn modelId="{BAD73B5D-E7CA-4C25-B9E9-E3F86E63D62E}" type="presParOf" srcId="{70CC549D-8264-4F26-99BC-D79C4C0184CB}" destId="{224398FD-4CEB-43EC-8936-A14261EFA0F5}" srcOrd="0" destOrd="0" presId="urn:microsoft.com/office/officeart/2005/8/layout/process1"/>
    <dgm:cxn modelId="{75980697-A239-4F3D-818D-860DF060EABF}" type="presParOf" srcId="{70CC549D-8264-4F26-99BC-D79C4C0184CB}" destId="{D803392C-8B36-448D-A085-68BE270A8412}" srcOrd="1" destOrd="0" presId="urn:microsoft.com/office/officeart/2005/8/layout/process1"/>
    <dgm:cxn modelId="{2CC43536-9E0A-4ED1-8EE0-7A927ECCD0AE}" type="presParOf" srcId="{D803392C-8B36-448D-A085-68BE270A8412}" destId="{06CF315E-4E04-41BA-82DC-60145CAA74F1}" srcOrd="0" destOrd="0" presId="urn:microsoft.com/office/officeart/2005/8/layout/process1"/>
    <dgm:cxn modelId="{4261F896-18FE-4FF7-8188-D66DB2843078}" type="presParOf" srcId="{70CC549D-8264-4F26-99BC-D79C4C0184CB}" destId="{2ADB5DF2-20D0-4223-B666-54C0479B48D8}" srcOrd="2" destOrd="0" presId="urn:microsoft.com/office/officeart/2005/8/layout/process1"/>
    <dgm:cxn modelId="{D2863E84-A0B2-4850-8547-D8EB98E0DC87}" type="presParOf" srcId="{70CC549D-8264-4F26-99BC-D79C4C0184CB}" destId="{1C47B827-817F-4BB6-A8A9-3A93A505CDCB}" srcOrd="3" destOrd="0" presId="urn:microsoft.com/office/officeart/2005/8/layout/process1"/>
    <dgm:cxn modelId="{7BA5B184-4636-4AC4-BEC1-07824A624894}" type="presParOf" srcId="{1C47B827-817F-4BB6-A8A9-3A93A505CDCB}" destId="{6ACA1226-8BB0-41EC-8C53-55EC6D5BA981}" srcOrd="0" destOrd="0" presId="urn:microsoft.com/office/officeart/2005/8/layout/process1"/>
    <dgm:cxn modelId="{A561D075-ED10-4C97-875E-11114EAE02EC}" type="presParOf" srcId="{70CC549D-8264-4F26-99BC-D79C4C0184CB}" destId="{9FD67D1C-CF56-4EAC-8448-282996090792}" srcOrd="4" destOrd="0" presId="urn:microsoft.com/office/officeart/2005/8/layout/process1"/>
    <dgm:cxn modelId="{A449B784-1335-4F8D-A168-F95B2C6B8730}" type="presParOf" srcId="{70CC549D-8264-4F26-99BC-D79C4C0184CB}" destId="{3F66EFE5-E9C4-4B0F-B020-D083DCCEE142}" srcOrd="5" destOrd="0" presId="urn:microsoft.com/office/officeart/2005/8/layout/process1"/>
    <dgm:cxn modelId="{793D920E-D330-48F2-BF1E-5ED7427132D9}" type="presParOf" srcId="{3F66EFE5-E9C4-4B0F-B020-D083DCCEE142}" destId="{34477F6E-79B7-4DE4-A0F3-39F9C84A045E}" srcOrd="0" destOrd="0" presId="urn:microsoft.com/office/officeart/2005/8/layout/process1"/>
    <dgm:cxn modelId="{BA7FA264-F57F-4550-B5AB-A7AB18F7A958}" type="presParOf" srcId="{70CC549D-8264-4F26-99BC-D79C4C0184CB}" destId="{91CADBF6-26CD-4FC1-8DDC-B4AEF7473C17}" srcOrd="6" destOrd="0" presId="urn:microsoft.com/office/officeart/2005/8/layout/process1"/>
    <dgm:cxn modelId="{4D51C69B-8BAD-43C8-9D1B-20486CB96F36}" type="presParOf" srcId="{70CC549D-8264-4F26-99BC-D79C4C0184CB}" destId="{4176FC87-2D0D-476F-A03C-F23494C0EE96}" srcOrd="7" destOrd="0" presId="urn:microsoft.com/office/officeart/2005/8/layout/process1"/>
    <dgm:cxn modelId="{829242F1-5D79-4DCF-AF98-663A8F6D65FC}" type="presParOf" srcId="{4176FC87-2D0D-476F-A03C-F23494C0EE96}" destId="{92434B11-1172-4C21-9116-5FBAA657997E}" srcOrd="0" destOrd="0" presId="urn:microsoft.com/office/officeart/2005/8/layout/process1"/>
    <dgm:cxn modelId="{82EFE5F6-3C35-4CBB-B4F2-80BC30DAFF32}" type="presParOf" srcId="{70CC549D-8264-4F26-99BC-D79C4C0184CB}" destId="{8B999729-95E1-486D-9AD1-2765A332A8C5}" srcOrd="8" destOrd="0" presId="urn:microsoft.com/office/officeart/2005/8/layout/process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A4721F7E-E93B-40B1-8DA3-79EAEBC7F696}"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da-DK"/>
        </a:p>
      </dgm:t>
    </dgm:pt>
    <dgm:pt modelId="{0BBD1850-5827-4760-85DB-C7C85D885F82}">
      <dgm:prSet phldrT="[Tekst]" custT="1"/>
      <dgm:spPr>
        <a:solidFill>
          <a:srgbClr val="EDEDED"/>
        </a:solidFill>
      </dgm:spPr>
      <dgm:t>
        <a:bodyPr anchor="t"/>
        <a:lstStyle/>
        <a:p>
          <a:pPr algn="l"/>
          <a:r>
            <a:rPr lang="da-DK" sz="1400" b="1">
              <a:solidFill>
                <a:sysClr val="windowText" lastClr="000000"/>
              </a:solidFill>
            </a:rPr>
            <a:t>1. Scope</a:t>
          </a:r>
        </a:p>
      </dgm:t>
    </dgm:pt>
    <dgm:pt modelId="{D4CBA652-23E6-40FF-B65D-15B38E3A28F2}" type="parTrans" cxnId="{3F8637A4-C23F-4BED-89A1-BE20E644AC1E}">
      <dgm:prSet/>
      <dgm:spPr/>
      <dgm:t>
        <a:bodyPr/>
        <a:lstStyle/>
        <a:p>
          <a:endParaRPr lang="da-DK"/>
        </a:p>
      </dgm:t>
    </dgm:pt>
    <dgm:pt modelId="{B9CD5067-4470-46C9-A86B-E7A031AA9464}" type="sibTrans" cxnId="{3F8637A4-C23F-4BED-89A1-BE20E644AC1E}">
      <dgm:prSet/>
      <dgm:spPr>
        <a:solidFill>
          <a:srgbClr val="AF1E2D"/>
        </a:solidFill>
      </dgm:spPr>
      <dgm:t>
        <a:bodyPr/>
        <a:lstStyle/>
        <a:p>
          <a:endParaRPr lang="da-DK"/>
        </a:p>
      </dgm:t>
    </dgm:pt>
    <dgm:pt modelId="{2827A30D-D6FA-4C42-BFDE-EC155341A649}">
      <dgm:prSet phldrT="[Tekst]" custT="1"/>
      <dgm:spPr>
        <a:solidFill>
          <a:srgbClr val="EDEDED"/>
        </a:solidFill>
      </dgm:spPr>
      <dgm:t>
        <a:bodyPr/>
        <a:lstStyle/>
        <a:p>
          <a:pPr algn="l"/>
          <a:r>
            <a:rPr lang="da-DK" sz="1400" b="1">
              <a:solidFill>
                <a:sysClr val="windowText" lastClr="000000"/>
              </a:solidFill>
            </a:rPr>
            <a:t>2. Scale</a:t>
          </a:r>
        </a:p>
      </dgm:t>
    </dgm:pt>
    <dgm:pt modelId="{5C0F2C80-3227-464E-8875-C5C2F14D877C}" type="parTrans" cxnId="{32F5462A-F6C2-48A2-99DA-0471B6BF3735}">
      <dgm:prSet/>
      <dgm:spPr/>
      <dgm:t>
        <a:bodyPr/>
        <a:lstStyle/>
        <a:p>
          <a:endParaRPr lang="da-DK"/>
        </a:p>
      </dgm:t>
    </dgm:pt>
    <dgm:pt modelId="{67232928-560C-465E-BD2C-A0B7E07FAD49}" type="sibTrans" cxnId="{32F5462A-F6C2-48A2-99DA-0471B6BF3735}">
      <dgm:prSet/>
      <dgm:spPr>
        <a:solidFill>
          <a:srgbClr val="AF1E2D"/>
        </a:solidFill>
      </dgm:spPr>
      <dgm:t>
        <a:bodyPr/>
        <a:lstStyle/>
        <a:p>
          <a:endParaRPr lang="da-DK"/>
        </a:p>
      </dgm:t>
    </dgm:pt>
    <dgm:pt modelId="{D726396E-B255-4CA2-BDF2-18C5F6658B4F}">
      <dgm:prSet phldrT="[Tekst]" custT="1"/>
      <dgm:spPr/>
      <dgm:t>
        <a:bodyPr anchor="ctr"/>
        <a:lstStyle/>
        <a:p>
          <a:pPr algn="l"/>
          <a:r>
            <a:rPr lang="da-DK" sz="1000">
              <a:solidFill>
                <a:sysClr val="windowText" lastClr="000000"/>
              </a:solidFill>
            </a:rPr>
            <a:t>Identification of composition of portfolio in the group</a:t>
          </a:r>
        </a:p>
      </dgm:t>
    </dgm:pt>
    <dgm:pt modelId="{A25450B5-73F4-4C90-9D22-1BE30B712AEB}" type="parTrans" cxnId="{57C5642C-A4F0-48C8-A779-E99120E67DFE}">
      <dgm:prSet/>
      <dgm:spPr/>
      <dgm:t>
        <a:bodyPr/>
        <a:lstStyle/>
        <a:p>
          <a:endParaRPr lang="da-DK"/>
        </a:p>
      </dgm:t>
    </dgm:pt>
    <dgm:pt modelId="{8A1CAB27-2842-4EE0-BF8F-AA12A8C90783}" type="sibTrans" cxnId="{57C5642C-A4F0-48C8-A779-E99120E67DFE}">
      <dgm:prSet/>
      <dgm:spPr/>
      <dgm:t>
        <a:bodyPr/>
        <a:lstStyle/>
        <a:p>
          <a:endParaRPr lang="da-DK"/>
        </a:p>
      </dgm:t>
    </dgm:pt>
    <dgm:pt modelId="{E733F4DF-F7AD-46A1-B050-12DE2B255890}">
      <dgm:prSet custT="1"/>
      <dgm:spPr>
        <a:solidFill>
          <a:srgbClr val="EDEDED"/>
        </a:solidFill>
      </dgm:spPr>
      <dgm:t>
        <a:bodyPr/>
        <a:lstStyle/>
        <a:p>
          <a:pPr algn="l"/>
          <a:r>
            <a:rPr lang="da-DK" sz="1400" b="1">
              <a:solidFill>
                <a:sysClr val="windowText" lastClr="000000"/>
              </a:solidFill>
            </a:rPr>
            <a:t>4. Impact</a:t>
          </a:r>
        </a:p>
      </dgm:t>
    </dgm:pt>
    <dgm:pt modelId="{F627E4FB-65BF-4493-BB25-CE8298DAB6C2}" type="parTrans" cxnId="{D20BEE59-652E-4F66-B17E-F49F7D19C395}">
      <dgm:prSet/>
      <dgm:spPr/>
      <dgm:t>
        <a:bodyPr/>
        <a:lstStyle/>
        <a:p>
          <a:endParaRPr lang="da-DK"/>
        </a:p>
      </dgm:t>
    </dgm:pt>
    <dgm:pt modelId="{A314E581-96AD-44DD-998A-5B45913AF802}" type="sibTrans" cxnId="{D20BEE59-652E-4F66-B17E-F49F7D19C395}">
      <dgm:prSet/>
      <dgm:spPr>
        <a:solidFill>
          <a:srgbClr val="AF1E2D"/>
        </a:solidFill>
      </dgm:spPr>
      <dgm:t>
        <a:bodyPr/>
        <a:lstStyle/>
        <a:p>
          <a:endParaRPr lang="da-DK"/>
        </a:p>
      </dgm:t>
    </dgm:pt>
    <dgm:pt modelId="{0E545AE3-5267-445F-BA03-02A4A5C5FD6D}">
      <dgm:prSet custT="1"/>
      <dgm:spPr>
        <a:solidFill>
          <a:srgbClr val="EDEDED"/>
        </a:solidFill>
      </dgm:spPr>
      <dgm:t>
        <a:bodyPr/>
        <a:lstStyle/>
        <a:p>
          <a:pPr algn="l"/>
          <a:r>
            <a:rPr lang="da-DK" sz="1400" b="1">
              <a:solidFill>
                <a:sysClr val="windowText" lastClr="000000"/>
              </a:solidFill>
            </a:rPr>
            <a:t>5. Performance</a:t>
          </a:r>
        </a:p>
      </dgm:t>
    </dgm:pt>
    <dgm:pt modelId="{4B02B955-02A3-41EE-B81F-8D3E1F6A971C}" type="parTrans" cxnId="{080E6064-889E-42CA-9F0E-9972F92F5E0D}">
      <dgm:prSet/>
      <dgm:spPr/>
      <dgm:t>
        <a:bodyPr/>
        <a:lstStyle/>
        <a:p>
          <a:endParaRPr lang="da-DK"/>
        </a:p>
      </dgm:t>
    </dgm:pt>
    <dgm:pt modelId="{44190701-B1A3-48F6-A897-2395DDC8C12A}" type="sibTrans" cxnId="{080E6064-889E-42CA-9F0E-9972F92F5E0D}">
      <dgm:prSet/>
      <dgm:spPr/>
      <dgm:t>
        <a:bodyPr/>
        <a:lstStyle/>
        <a:p>
          <a:endParaRPr lang="da-DK"/>
        </a:p>
      </dgm:t>
    </dgm:pt>
    <dgm:pt modelId="{2E50FDFD-2014-432C-96DA-61E332C1766C}">
      <dgm:prSet custT="1"/>
      <dgm:spPr>
        <a:solidFill>
          <a:srgbClr val="EDEDED"/>
        </a:solidFill>
      </dgm:spPr>
      <dgm:t>
        <a:bodyPr anchor="ctr"/>
        <a:lstStyle/>
        <a:p>
          <a:pPr algn="l"/>
          <a:r>
            <a:rPr lang="da-DK" sz="1000">
              <a:solidFill>
                <a:sysClr val="windowText" lastClr="000000"/>
              </a:solidFill>
            </a:rPr>
            <a:t>Identification of potential impact areas in the group</a:t>
          </a:r>
        </a:p>
      </dgm:t>
    </dgm:pt>
    <dgm:pt modelId="{98361001-CD3D-4215-B83A-9228FBACFEC2}" type="parTrans" cxnId="{1FA1E1D7-7326-4204-A346-061C76B43FD5}">
      <dgm:prSet/>
      <dgm:spPr/>
      <dgm:t>
        <a:bodyPr/>
        <a:lstStyle/>
        <a:p>
          <a:endParaRPr lang="da-DK"/>
        </a:p>
      </dgm:t>
    </dgm:pt>
    <dgm:pt modelId="{1BFB1ACB-3D05-4274-BF3B-B0055D9D4197}" type="sibTrans" cxnId="{1FA1E1D7-7326-4204-A346-061C76B43FD5}">
      <dgm:prSet/>
      <dgm:spPr/>
      <dgm:t>
        <a:bodyPr/>
        <a:lstStyle/>
        <a:p>
          <a:endParaRPr lang="da-DK"/>
        </a:p>
      </dgm:t>
    </dgm:pt>
    <dgm:pt modelId="{96E2A57B-D4F5-4ACA-AA4A-175A54C98D7D}">
      <dgm:prSet custT="1"/>
      <dgm:spPr>
        <a:solidFill>
          <a:srgbClr val="EDEDED"/>
        </a:solidFill>
      </dgm:spPr>
      <dgm:t>
        <a:bodyPr anchor="ctr"/>
        <a:lstStyle/>
        <a:p>
          <a:pPr algn="l"/>
          <a:r>
            <a:rPr lang="da-DK" sz="1000">
              <a:solidFill>
                <a:sysClr val="windowText" lastClr="000000"/>
              </a:solidFill>
            </a:rPr>
            <a:t>Quantification of the most significant impact area in the group</a:t>
          </a:r>
        </a:p>
      </dgm:t>
    </dgm:pt>
    <dgm:pt modelId="{73A5AF3E-4C59-4DAD-BC52-65984905C5A8}" type="parTrans" cxnId="{38A5C5CB-EC36-4262-8CB4-2572F18FD6D8}">
      <dgm:prSet/>
      <dgm:spPr/>
      <dgm:t>
        <a:bodyPr/>
        <a:lstStyle/>
        <a:p>
          <a:endParaRPr lang="da-DK"/>
        </a:p>
      </dgm:t>
    </dgm:pt>
    <dgm:pt modelId="{D3944DEB-B182-4295-A53B-981F49C68867}" type="sibTrans" cxnId="{38A5C5CB-EC36-4262-8CB4-2572F18FD6D8}">
      <dgm:prSet/>
      <dgm:spPr/>
      <dgm:t>
        <a:bodyPr/>
        <a:lstStyle/>
        <a:p>
          <a:endParaRPr lang="da-DK"/>
        </a:p>
      </dgm:t>
    </dgm:pt>
    <dgm:pt modelId="{D5D81A1A-DA16-4EA7-A0A2-B12F6FED8085}">
      <dgm:prSet phldrT="[Tekst]" custT="1"/>
      <dgm:spPr>
        <a:solidFill>
          <a:srgbClr val="EDEDED"/>
        </a:solidFill>
      </dgm:spPr>
      <dgm:t>
        <a:bodyPr/>
        <a:lstStyle/>
        <a:p>
          <a:pPr algn="l"/>
          <a:r>
            <a:rPr lang="da-DK" sz="1400" b="1">
              <a:solidFill>
                <a:sysClr val="windowText" lastClr="000000"/>
              </a:solidFill>
            </a:rPr>
            <a:t>3. Context</a:t>
          </a:r>
        </a:p>
      </dgm:t>
    </dgm:pt>
    <dgm:pt modelId="{E32724CA-7F95-4B6A-8BF3-149B77715BCD}" type="parTrans" cxnId="{FF32C39E-15BF-4898-BA5A-3832CD238F9B}">
      <dgm:prSet/>
      <dgm:spPr/>
      <dgm:t>
        <a:bodyPr/>
        <a:lstStyle/>
        <a:p>
          <a:endParaRPr lang="da-DK"/>
        </a:p>
      </dgm:t>
    </dgm:pt>
    <dgm:pt modelId="{FCE90009-8CC5-4450-B206-23CF393DC5E6}" type="sibTrans" cxnId="{FF32C39E-15BF-4898-BA5A-3832CD238F9B}">
      <dgm:prSet/>
      <dgm:spPr>
        <a:solidFill>
          <a:srgbClr val="AF1E2D"/>
        </a:solidFill>
      </dgm:spPr>
      <dgm:t>
        <a:bodyPr/>
        <a:lstStyle/>
        <a:p>
          <a:endParaRPr lang="da-DK"/>
        </a:p>
      </dgm:t>
    </dgm:pt>
    <dgm:pt modelId="{9F6CA1E7-B03B-4701-B2C1-FBEF650F6C82}">
      <dgm:prSet phldrT="[Tekst]" custT="1"/>
      <dgm:spPr/>
      <dgm:t>
        <a:bodyPr anchor="ctr"/>
        <a:lstStyle/>
        <a:p>
          <a:pPr algn="l"/>
          <a:r>
            <a:rPr lang="da-DK" sz="1000">
              <a:solidFill>
                <a:sysClr val="windowText" lastClr="000000"/>
              </a:solidFill>
            </a:rPr>
            <a:t>Relevance to the context in which the group operates</a:t>
          </a:r>
        </a:p>
      </dgm:t>
    </dgm:pt>
    <dgm:pt modelId="{EDC061F2-2B0C-4CD4-A97F-EEDF8875B61F}" type="parTrans" cxnId="{4BFF3DB4-9874-4D2B-BC37-DFA8A72BF71C}">
      <dgm:prSet/>
      <dgm:spPr/>
      <dgm:t>
        <a:bodyPr/>
        <a:lstStyle/>
        <a:p>
          <a:endParaRPr lang="da-DK"/>
        </a:p>
      </dgm:t>
    </dgm:pt>
    <dgm:pt modelId="{3069A82A-025E-40A5-8F1D-B99B5876B3C1}" type="sibTrans" cxnId="{4BFF3DB4-9874-4D2B-BC37-DFA8A72BF71C}">
      <dgm:prSet/>
      <dgm:spPr/>
      <dgm:t>
        <a:bodyPr/>
        <a:lstStyle/>
        <a:p>
          <a:endParaRPr lang="da-DK"/>
        </a:p>
      </dgm:t>
    </dgm:pt>
    <dgm:pt modelId="{5DDEC32C-B9A6-4DDF-A820-3A5DA4FEE458}">
      <dgm:prSet phldrT="[Tekst]" custT="1"/>
      <dgm:spPr/>
      <dgm:t>
        <a:bodyPr anchor="ctr"/>
        <a:lstStyle/>
        <a:p>
          <a:pPr algn="l"/>
          <a:r>
            <a:rPr lang="da-DK" sz="1000">
              <a:solidFill>
                <a:sysClr val="windowText" lastClr="000000"/>
              </a:solidFill>
            </a:rPr>
            <a:t>Main activities in the group</a:t>
          </a:r>
        </a:p>
      </dgm:t>
    </dgm:pt>
    <dgm:pt modelId="{808C1073-7059-494F-AECA-3485A544EB5A}" type="sibTrans" cxnId="{5E9ED5F6-CC9B-4A59-9C97-AB3823958EA0}">
      <dgm:prSet/>
      <dgm:spPr/>
      <dgm:t>
        <a:bodyPr/>
        <a:lstStyle/>
        <a:p>
          <a:endParaRPr lang="da-DK"/>
        </a:p>
      </dgm:t>
    </dgm:pt>
    <dgm:pt modelId="{6FC61A3A-55CF-45E3-BA2D-B329F43CF36A}" type="parTrans" cxnId="{5E9ED5F6-CC9B-4A59-9C97-AB3823958EA0}">
      <dgm:prSet/>
      <dgm:spPr/>
      <dgm:t>
        <a:bodyPr/>
        <a:lstStyle/>
        <a:p>
          <a:endParaRPr lang="da-DK"/>
        </a:p>
      </dgm:t>
    </dgm:pt>
    <dgm:pt modelId="{70CC549D-8264-4F26-99BC-D79C4C0184CB}" type="pres">
      <dgm:prSet presAssocID="{A4721F7E-E93B-40B1-8DA3-79EAEBC7F696}" presName="Name0" presStyleCnt="0">
        <dgm:presLayoutVars>
          <dgm:dir/>
          <dgm:resizeHandles val="exact"/>
        </dgm:presLayoutVars>
      </dgm:prSet>
      <dgm:spPr/>
    </dgm:pt>
    <dgm:pt modelId="{224398FD-4CEB-43EC-8936-A14261EFA0F5}" type="pres">
      <dgm:prSet presAssocID="{0BBD1850-5827-4760-85DB-C7C85D885F82}" presName="node" presStyleLbl="node1" presStyleIdx="0" presStyleCnt="5">
        <dgm:presLayoutVars>
          <dgm:bulletEnabled val="1"/>
        </dgm:presLayoutVars>
      </dgm:prSet>
      <dgm:spPr/>
    </dgm:pt>
    <dgm:pt modelId="{D803392C-8B36-448D-A085-68BE270A8412}" type="pres">
      <dgm:prSet presAssocID="{B9CD5067-4470-46C9-A86B-E7A031AA9464}" presName="sibTrans" presStyleLbl="sibTrans2D1" presStyleIdx="0" presStyleCnt="4"/>
      <dgm:spPr/>
    </dgm:pt>
    <dgm:pt modelId="{06CF315E-4E04-41BA-82DC-60145CAA74F1}" type="pres">
      <dgm:prSet presAssocID="{B9CD5067-4470-46C9-A86B-E7A031AA9464}" presName="connectorText" presStyleLbl="sibTrans2D1" presStyleIdx="0" presStyleCnt="4"/>
      <dgm:spPr/>
    </dgm:pt>
    <dgm:pt modelId="{2ADB5DF2-20D0-4223-B666-54C0479B48D8}" type="pres">
      <dgm:prSet presAssocID="{2827A30D-D6FA-4C42-BFDE-EC155341A649}" presName="node" presStyleLbl="node1" presStyleIdx="1" presStyleCnt="5">
        <dgm:presLayoutVars>
          <dgm:bulletEnabled val="1"/>
        </dgm:presLayoutVars>
      </dgm:prSet>
      <dgm:spPr/>
    </dgm:pt>
    <dgm:pt modelId="{1C47B827-817F-4BB6-A8A9-3A93A505CDCB}" type="pres">
      <dgm:prSet presAssocID="{67232928-560C-465E-BD2C-A0B7E07FAD49}" presName="sibTrans" presStyleLbl="sibTrans2D1" presStyleIdx="1" presStyleCnt="4"/>
      <dgm:spPr/>
    </dgm:pt>
    <dgm:pt modelId="{6ACA1226-8BB0-41EC-8C53-55EC6D5BA981}" type="pres">
      <dgm:prSet presAssocID="{67232928-560C-465E-BD2C-A0B7E07FAD49}" presName="connectorText" presStyleLbl="sibTrans2D1" presStyleIdx="1" presStyleCnt="4"/>
      <dgm:spPr/>
    </dgm:pt>
    <dgm:pt modelId="{9FD67D1C-CF56-4EAC-8448-282996090792}" type="pres">
      <dgm:prSet presAssocID="{D5D81A1A-DA16-4EA7-A0A2-B12F6FED8085}" presName="node" presStyleLbl="node1" presStyleIdx="2" presStyleCnt="5">
        <dgm:presLayoutVars>
          <dgm:bulletEnabled val="1"/>
        </dgm:presLayoutVars>
      </dgm:prSet>
      <dgm:spPr/>
    </dgm:pt>
    <dgm:pt modelId="{3F66EFE5-E9C4-4B0F-B020-D083DCCEE142}" type="pres">
      <dgm:prSet presAssocID="{FCE90009-8CC5-4450-B206-23CF393DC5E6}" presName="sibTrans" presStyleLbl="sibTrans2D1" presStyleIdx="2" presStyleCnt="4"/>
      <dgm:spPr/>
    </dgm:pt>
    <dgm:pt modelId="{34477F6E-79B7-4DE4-A0F3-39F9C84A045E}" type="pres">
      <dgm:prSet presAssocID="{FCE90009-8CC5-4450-B206-23CF393DC5E6}" presName="connectorText" presStyleLbl="sibTrans2D1" presStyleIdx="2" presStyleCnt="4"/>
      <dgm:spPr/>
    </dgm:pt>
    <dgm:pt modelId="{91CADBF6-26CD-4FC1-8DDC-B4AEF7473C17}" type="pres">
      <dgm:prSet presAssocID="{E733F4DF-F7AD-46A1-B050-12DE2B255890}" presName="node" presStyleLbl="node1" presStyleIdx="3" presStyleCnt="5">
        <dgm:presLayoutVars>
          <dgm:bulletEnabled val="1"/>
        </dgm:presLayoutVars>
      </dgm:prSet>
      <dgm:spPr/>
    </dgm:pt>
    <dgm:pt modelId="{4176FC87-2D0D-476F-A03C-F23494C0EE96}" type="pres">
      <dgm:prSet presAssocID="{A314E581-96AD-44DD-998A-5B45913AF802}" presName="sibTrans" presStyleLbl="sibTrans2D1" presStyleIdx="3" presStyleCnt="4"/>
      <dgm:spPr/>
    </dgm:pt>
    <dgm:pt modelId="{92434B11-1172-4C21-9116-5FBAA657997E}" type="pres">
      <dgm:prSet presAssocID="{A314E581-96AD-44DD-998A-5B45913AF802}" presName="connectorText" presStyleLbl="sibTrans2D1" presStyleIdx="3" presStyleCnt="4"/>
      <dgm:spPr/>
    </dgm:pt>
    <dgm:pt modelId="{8B999729-95E1-486D-9AD1-2765A332A8C5}" type="pres">
      <dgm:prSet presAssocID="{0E545AE3-5267-445F-BA03-02A4A5C5FD6D}" presName="node" presStyleLbl="node1" presStyleIdx="4" presStyleCnt="5">
        <dgm:presLayoutVars>
          <dgm:bulletEnabled val="1"/>
        </dgm:presLayoutVars>
      </dgm:prSet>
      <dgm:spPr/>
    </dgm:pt>
  </dgm:ptLst>
  <dgm:cxnLst>
    <dgm:cxn modelId="{E0484404-90BA-4A6D-839E-D2CBC83AE91F}" type="presOf" srcId="{2827A30D-D6FA-4C42-BFDE-EC155341A649}" destId="{2ADB5DF2-20D0-4223-B666-54C0479B48D8}" srcOrd="0" destOrd="0" presId="urn:microsoft.com/office/officeart/2005/8/layout/process1"/>
    <dgm:cxn modelId="{F79F1315-F4D2-47E4-9EBE-AFFA650A9DCA}" type="presOf" srcId="{67232928-560C-465E-BD2C-A0B7E07FAD49}" destId="{1C47B827-817F-4BB6-A8A9-3A93A505CDCB}" srcOrd="0" destOrd="0" presId="urn:microsoft.com/office/officeart/2005/8/layout/process1"/>
    <dgm:cxn modelId="{7506661D-4A00-4151-9347-8478F0D3ED6C}" type="presOf" srcId="{D726396E-B255-4CA2-BDF2-18C5F6658B4F}" destId="{2ADB5DF2-20D0-4223-B666-54C0479B48D8}" srcOrd="0" destOrd="1" presId="urn:microsoft.com/office/officeart/2005/8/layout/process1"/>
    <dgm:cxn modelId="{1B28AC23-A837-4C68-9CB5-D0B28D12A2F6}" type="presOf" srcId="{A314E581-96AD-44DD-998A-5B45913AF802}" destId="{4176FC87-2D0D-476F-A03C-F23494C0EE96}" srcOrd="0" destOrd="0" presId="urn:microsoft.com/office/officeart/2005/8/layout/process1"/>
    <dgm:cxn modelId="{32F5462A-F6C2-48A2-99DA-0471B6BF3735}" srcId="{A4721F7E-E93B-40B1-8DA3-79EAEBC7F696}" destId="{2827A30D-D6FA-4C42-BFDE-EC155341A649}" srcOrd="1" destOrd="0" parTransId="{5C0F2C80-3227-464E-8875-C5C2F14D877C}" sibTransId="{67232928-560C-465E-BD2C-A0B7E07FAD49}"/>
    <dgm:cxn modelId="{57C5642C-A4F0-48C8-A779-E99120E67DFE}" srcId="{2827A30D-D6FA-4C42-BFDE-EC155341A649}" destId="{D726396E-B255-4CA2-BDF2-18C5F6658B4F}" srcOrd="0" destOrd="0" parTransId="{A25450B5-73F4-4C90-9D22-1BE30B712AEB}" sibTransId="{8A1CAB27-2842-4EE0-BF8F-AA12A8C90783}"/>
    <dgm:cxn modelId="{AD46793C-B406-4976-A83A-468D04ACEBD3}" type="presOf" srcId="{67232928-560C-465E-BD2C-A0B7E07FAD49}" destId="{6ACA1226-8BB0-41EC-8C53-55EC6D5BA981}" srcOrd="1" destOrd="0" presId="urn:microsoft.com/office/officeart/2005/8/layout/process1"/>
    <dgm:cxn modelId="{DB0D555F-5F38-4D97-81D1-934A17D06548}" type="presOf" srcId="{2E50FDFD-2014-432C-96DA-61E332C1766C}" destId="{91CADBF6-26CD-4FC1-8DDC-B4AEF7473C17}" srcOrd="0" destOrd="1" presId="urn:microsoft.com/office/officeart/2005/8/layout/process1"/>
    <dgm:cxn modelId="{A1B87761-4816-4CF0-AAF4-CE8A0452D4E4}" type="presOf" srcId="{A314E581-96AD-44DD-998A-5B45913AF802}" destId="{92434B11-1172-4C21-9116-5FBAA657997E}" srcOrd="1" destOrd="0" presId="urn:microsoft.com/office/officeart/2005/8/layout/process1"/>
    <dgm:cxn modelId="{080E6064-889E-42CA-9F0E-9972F92F5E0D}" srcId="{A4721F7E-E93B-40B1-8DA3-79EAEBC7F696}" destId="{0E545AE3-5267-445F-BA03-02A4A5C5FD6D}" srcOrd="4" destOrd="0" parTransId="{4B02B955-02A3-41EE-B81F-8D3E1F6A971C}" sibTransId="{44190701-B1A3-48F6-A897-2395DDC8C12A}"/>
    <dgm:cxn modelId="{4E46184B-D427-47B3-B2AE-A7EE5608B8FE}" type="presOf" srcId="{A4721F7E-E93B-40B1-8DA3-79EAEBC7F696}" destId="{70CC549D-8264-4F26-99BC-D79C4C0184CB}" srcOrd="0" destOrd="0" presId="urn:microsoft.com/office/officeart/2005/8/layout/process1"/>
    <dgm:cxn modelId="{6712E075-9454-4F6B-938C-5C8AC10CBE08}" type="presOf" srcId="{FCE90009-8CC5-4450-B206-23CF393DC5E6}" destId="{34477F6E-79B7-4DE4-A0F3-39F9C84A045E}" srcOrd="1" destOrd="0" presId="urn:microsoft.com/office/officeart/2005/8/layout/process1"/>
    <dgm:cxn modelId="{D20BEE59-652E-4F66-B17E-F49F7D19C395}" srcId="{A4721F7E-E93B-40B1-8DA3-79EAEBC7F696}" destId="{E733F4DF-F7AD-46A1-B050-12DE2B255890}" srcOrd="3" destOrd="0" parTransId="{F627E4FB-65BF-4493-BB25-CE8298DAB6C2}" sibTransId="{A314E581-96AD-44DD-998A-5B45913AF802}"/>
    <dgm:cxn modelId="{9959D35A-2D47-4088-B7EF-441649E3EE0C}" type="presOf" srcId="{9F6CA1E7-B03B-4701-B2C1-FBEF650F6C82}" destId="{9FD67D1C-CF56-4EAC-8448-282996090792}" srcOrd="0" destOrd="1" presId="urn:microsoft.com/office/officeart/2005/8/layout/process1"/>
    <dgm:cxn modelId="{324D777D-352D-4818-97BB-FB73C4ED2359}" type="presOf" srcId="{B9CD5067-4470-46C9-A86B-E7A031AA9464}" destId="{06CF315E-4E04-41BA-82DC-60145CAA74F1}" srcOrd="1" destOrd="0" presId="urn:microsoft.com/office/officeart/2005/8/layout/process1"/>
    <dgm:cxn modelId="{E6CD6D88-F4F1-4A3F-9023-0F7E3B4B94D2}" type="presOf" srcId="{96E2A57B-D4F5-4ACA-AA4A-175A54C98D7D}" destId="{8B999729-95E1-486D-9AD1-2765A332A8C5}" srcOrd="0" destOrd="1" presId="urn:microsoft.com/office/officeart/2005/8/layout/process1"/>
    <dgm:cxn modelId="{FF32C39E-15BF-4898-BA5A-3832CD238F9B}" srcId="{A4721F7E-E93B-40B1-8DA3-79EAEBC7F696}" destId="{D5D81A1A-DA16-4EA7-A0A2-B12F6FED8085}" srcOrd="2" destOrd="0" parTransId="{E32724CA-7F95-4B6A-8BF3-149B77715BCD}" sibTransId="{FCE90009-8CC5-4450-B206-23CF393DC5E6}"/>
    <dgm:cxn modelId="{3F8637A4-C23F-4BED-89A1-BE20E644AC1E}" srcId="{A4721F7E-E93B-40B1-8DA3-79EAEBC7F696}" destId="{0BBD1850-5827-4760-85DB-C7C85D885F82}" srcOrd="0" destOrd="0" parTransId="{D4CBA652-23E6-40FF-B65D-15B38E3A28F2}" sibTransId="{B9CD5067-4470-46C9-A86B-E7A031AA9464}"/>
    <dgm:cxn modelId="{4BFF3DB4-9874-4D2B-BC37-DFA8A72BF71C}" srcId="{D5D81A1A-DA16-4EA7-A0A2-B12F6FED8085}" destId="{9F6CA1E7-B03B-4701-B2C1-FBEF650F6C82}" srcOrd="0" destOrd="0" parTransId="{EDC061F2-2B0C-4CD4-A97F-EEDF8875B61F}" sibTransId="{3069A82A-025E-40A5-8F1D-B99B5876B3C1}"/>
    <dgm:cxn modelId="{8AFCC5BA-2619-401E-9918-29BA19EF4463}" type="presOf" srcId="{0E545AE3-5267-445F-BA03-02A4A5C5FD6D}" destId="{8B999729-95E1-486D-9AD1-2765A332A8C5}" srcOrd="0" destOrd="0" presId="urn:microsoft.com/office/officeart/2005/8/layout/process1"/>
    <dgm:cxn modelId="{9577DAC2-96E1-492F-9812-B71B3F7EE878}" type="presOf" srcId="{B9CD5067-4470-46C9-A86B-E7A031AA9464}" destId="{D803392C-8B36-448D-A085-68BE270A8412}" srcOrd="0" destOrd="0" presId="urn:microsoft.com/office/officeart/2005/8/layout/process1"/>
    <dgm:cxn modelId="{38A5C5CB-EC36-4262-8CB4-2572F18FD6D8}" srcId="{0E545AE3-5267-445F-BA03-02A4A5C5FD6D}" destId="{96E2A57B-D4F5-4ACA-AA4A-175A54C98D7D}" srcOrd="0" destOrd="0" parTransId="{73A5AF3E-4C59-4DAD-BC52-65984905C5A8}" sibTransId="{D3944DEB-B182-4295-A53B-981F49C68867}"/>
    <dgm:cxn modelId="{C714BDCD-3859-44E9-A056-CE589F2C1D6A}" type="presOf" srcId="{FCE90009-8CC5-4450-B206-23CF393DC5E6}" destId="{3F66EFE5-E9C4-4B0F-B020-D083DCCEE142}" srcOrd="0" destOrd="0" presId="urn:microsoft.com/office/officeart/2005/8/layout/process1"/>
    <dgm:cxn modelId="{9F769BD0-FB29-4392-8555-D673C51446B3}" type="presOf" srcId="{0BBD1850-5827-4760-85DB-C7C85D885F82}" destId="{224398FD-4CEB-43EC-8936-A14261EFA0F5}" srcOrd="0" destOrd="0" presId="urn:microsoft.com/office/officeart/2005/8/layout/process1"/>
    <dgm:cxn modelId="{7343C8D6-87E7-4CFF-B77B-479777AB2DBC}" type="presOf" srcId="{5DDEC32C-B9A6-4DDF-A820-3A5DA4FEE458}" destId="{224398FD-4CEB-43EC-8936-A14261EFA0F5}" srcOrd="0" destOrd="1" presId="urn:microsoft.com/office/officeart/2005/8/layout/process1"/>
    <dgm:cxn modelId="{1FA1E1D7-7326-4204-A346-061C76B43FD5}" srcId="{E733F4DF-F7AD-46A1-B050-12DE2B255890}" destId="{2E50FDFD-2014-432C-96DA-61E332C1766C}" srcOrd="0" destOrd="0" parTransId="{98361001-CD3D-4215-B83A-9228FBACFEC2}" sibTransId="{1BFB1ACB-3D05-4274-BF3B-B0055D9D4197}"/>
    <dgm:cxn modelId="{829D07DC-764B-4057-9D16-0C92179CF170}" type="presOf" srcId="{D5D81A1A-DA16-4EA7-A0A2-B12F6FED8085}" destId="{9FD67D1C-CF56-4EAC-8448-282996090792}" srcOrd="0" destOrd="0" presId="urn:microsoft.com/office/officeart/2005/8/layout/process1"/>
    <dgm:cxn modelId="{5E9ED5F6-CC9B-4A59-9C97-AB3823958EA0}" srcId="{0BBD1850-5827-4760-85DB-C7C85D885F82}" destId="{5DDEC32C-B9A6-4DDF-A820-3A5DA4FEE458}" srcOrd="0" destOrd="0" parTransId="{6FC61A3A-55CF-45E3-BA2D-B329F43CF36A}" sibTransId="{808C1073-7059-494F-AECA-3485A544EB5A}"/>
    <dgm:cxn modelId="{E7E478FF-1A9B-419A-BBB3-5C4189849AA6}" type="presOf" srcId="{E733F4DF-F7AD-46A1-B050-12DE2B255890}" destId="{91CADBF6-26CD-4FC1-8DDC-B4AEF7473C17}" srcOrd="0" destOrd="0" presId="urn:microsoft.com/office/officeart/2005/8/layout/process1"/>
    <dgm:cxn modelId="{BAD73B5D-E7CA-4C25-B9E9-E3F86E63D62E}" type="presParOf" srcId="{70CC549D-8264-4F26-99BC-D79C4C0184CB}" destId="{224398FD-4CEB-43EC-8936-A14261EFA0F5}" srcOrd="0" destOrd="0" presId="urn:microsoft.com/office/officeart/2005/8/layout/process1"/>
    <dgm:cxn modelId="{75980697-A239-4F3D-818D-860DF060EABF}" type="presParOf" srcId="{70CC549D-8264-4F26-99BC-D79C4C0184CB}" destId="{D803392C-8B36-448D-A085-68BE270A8412}" srcOrd="1" destOrd="0" presId="urn:microsoft.com/office/officeart/2005/8/layout/process1"/>
    <dgm:cxn modelId="{2CC43536-9E0A-4ED1-8EE0-7A927ECCD0AE}" type="presParOf" srcId="{D803392C-8B36-448D-A085-68BE270A8412}" destId="{06CF315E-4E04-41BA-82DC-60145CAA74F1}" srcOrd="0" destOrd="0" presId="urn:microsoft.com/office/officeart/2005/8/layout/process1"/>
    <dgm:cxn modelId="{4261F896-18FE-4FF7-8188-D66DB2843078}" type="presParOf" srcId="{70CC549D-8264-4F26-99BC-D79C4C0184CB}" destId="{2ADB5DF2-20D0-4223-B666-54C0479B48D8}" srcOrd="2" destOrd="0" presId="urn:microsoft.com/office/officeart/2005/8/layout/process1"/>
    <dgm:cxn modelId="{D2863E84-A0B2-4850-8547-D8EB98E0DC87}" type="presParOf" srcId="{70CC549D-8264-4F26-99BC-D79C4C0184CB}" destId="{1C47B827-817F-4BB6-A8A9-3A93A505CDCB}" srcOrd="3" destOrd="0" presId="urn:microsoft.com/office/officeart/2005/8/layout/process1"/>
    <dgm:cxn modelId="{7BA5B184-4636-4AC4-BEC1-07824A624894}" type="presParOf" srcId="{1C47B827-817F-4BB6-A8A9-3A93A505CDCB}" destId="{6ACA1226-8BB0-41EC-8C53-55EC6D5BA981}" srcOrd="0" destOrd="0" presId="urn:microsoft.com/office/officeart/2005/8/layout/process1"/>
    <dgm:cxn modelId="{A561D075-ED10-4C97-875E-11114EAE02EC}" type="presParOf" srcId="{70CC549D-8264-4F26-99BC-D79C4C0184CB}" destId="{9FD67D1C-CF56-4EAC-8448-282996090792}" srcOrd="4" destOrd="0" presId="urn:microsoft.com/office/officeart/2005/8/layout/process1"/>
    <dgm:cxn modelId="{A449B784-1335-4F8D-A168-F95B2C6B8730}" type="presParOf" srcId="{70CC549D-8264-4F26-99BC-D79C4C0184CB}" destId="{3F66EFE5-E9C4-4B0F-B020-D083DCCEE142}" srcOrd="5" destOrd="0" presId="urn:microsoft.com/office/officeart/2005/8/layout/process1"/>
    <dgm:cxn modelId="{793D920E-D330-48F2-BF1E-5ED7427132D9}" type="presParOf" srcId="{3F66EFE5-E9C4-4B0F-B020-D083DCCEE142}" destId="{34477F6E-79B7-4DE4-A0F3-39F9C84A045E}" srcOrd="0" destOrd="0" presId="urn:microsoft.com/office/officeart/2005/8/layout/process1"/>
    <dgm:cxn modelId="{BA7FA264-F57F-4550-B5AB-A7AB18F7A958}" type="presParOf" srcId="{70CC549D-8264-4F26-99BC-D79C4C0184CB}" destId="{91CADBF6-26CD-4FC1-8DDC-B4AEF7473C17}" srcOrd="6" destOrd="0" presId="urn:microsoft.com/office/officeart/2005/8/layout/process1"/>
    <dgm:cxn modelId="{4D51C69B-8BAD-43C8-9D1B-20486CB96F36}" type="presParOf" srcId="{70CC549D-8264-4F26-99BC-D79C4C0184CB}" destId="{4176FC87-2D0D-476F-A03C-F23494C0EE96}" srcOrd="7" destOrd="0" presId="urn:microsoft.com/office/officeart/2005/8/layout/process1"/>
    <dgm:cxn modelId="{829242F1-5D79-4DCF-AF98-663A8F6D65FC}" type="presParOf" srcId="{4176FC87-2D0D-476F-A03C-F23494C0EE96}" destId="{92434B11-1172-4C21-9116-5FBAA657997E}" srcOrd="0" destOrd="0" presId="urn:microsoft.com/office/officeart/2005/8/layout/process1"/>
    <dgm:cxn modelId="{82EFE5F6-3C35-4CBB-B4F2-80BC30DAFF32}" type="presParOf" srcId="{70CC549D-8264-4F26-99BC-D79C4C0184CB}" destId="{8B999729-95E1-486D-9AD1-2765A332A8C5}" srcOrd="8" destOrd="0" presId="urn:microsoft.com/office/officeart/2005/8/layout/process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24398FD-4CEB-43EC-8936-A14261EFA0F5}">
      <dsp:nvSpPr>
        <dsp:cNvPr id="0" name=""/>
        <dsp:cNvSpPr/>
      </dsp:nvSpPr>
      <dsp:spPr>
        <a:xfrm>
          <a:off x="4419" y="151494"/>
          <a:ext cx="1369938" cy="1159096"/>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1. Scope</a:t>
          </a:r>
        </a:p>
        <a:p>
          <a:pPr marL="57150" lvl="1" indent="-57150" algn="l" defTabSz="444500">
            <a:lnSpc>
              <a:spcPct val="90000"/>
            </a:lnSpc>
            <a:spcBef>
              <a:spcPct val="0"/>
            </a:spcBef>
            <a:spcAft>
              <a:spcPct val="15000"/>
            </a:spcAft>
            <a:buChar char="•"/>
          </a:pPr>
          <a:r>
            <a:rPr lang="da-DK" sz="1000" kern="1200">
              <a:solidFill>
                <a:sysClr val="windowText" lastClr="000000"/>
              </a:solidFill>
            </a:rPr>
            <a:t>Main activities in Arbejdernes Landsbank </a:t>
          </a:r>
        </a:p>
      </dsp:txBody>
      <dsp:txXfrm>
        <a:off x="38368" y="185443"/>
        <a:ext cx="1302040" cy="1091198"/>
      </dsp:txXfrm>
    </dsp:sp>
    <dsp:sp modelId="{D803392C-8B36-448D-A085-68BE270A8412}">
      <dsp:nvSpPr>
        <dsp:cNvPr id="0" name=""/>
        <dsp:cNvSpPr/>
      </dsp:nvSpPr>
      <dsp:spPr>
        <a:xfrm>
          <a:off x="1511351" y="561170"/>
          <a:ext cx="290426" cy="339744"/>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1511351" y="629119"/>
        <a:ext cx="203298" cy="203846"/>
      </dsp:txXfrm>
    </dsp:sp>
    <dsp:sp modelId="{2ADB5DF2-20D0-4223-B666-54C0479B48D8}">
      <dsp:nvSpPr>
        <dsp:cNvPr id="0" name=""/>
        <dsp:cNvSpPr/>
      </dsp:nvSpPr>
      <dsp:spPr>
        <a:xfrm>
          <a:off x="1922332" y="151494"/>
          <a:ext cx="1369938" cy="1159096"/>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2. Scale</a:t>
          </a:r>
        </a:p>
        <a:p>
          <a:pPr marL="57150" lvl="1" indent="-57150" algn="l" defTabSz="444500">
            <a:lnSpc>
              <a:spcPct val="90000"/>
            </a:lnSpc>
            <a:spcBef>
              <a:spcPct val="0"/>
            </a:spcBef>
            <a:spcAft>
              <a:spcPct val="15000"/>
            </a:spcAft>
            <a:buChar char="•"/>
          </a:pPr>
          <a:r>
            <a:rPr lang="da-DK" sz="1000" kern="1200">
              <a:solidFill>
                <a:sysClr val="windowText" lastClr="000000"/>
              </a:solidFill>
            </a:rPr>
            <a:t>Identification of composition of portfolio in the group </a:t>
          </a:r>
        </a:p>
      </dsp:txBody>
      <dsp:txXfrm>
        <a:off x="1956281" y="185443"/>
        <a:ext cx="1302040" cy="1091198"/>
      </dsp:txXfrm>
    </dsp:sp>
    <dsp:sp modelId="{1C47B827-817F-4BB6-A8A9-3A93A505CDCB}">
      <dsp:nvSpPr>
        <dsp:cNvPr id="0" name=""/>
        <dsp:cNvSpPr/>
      </dsp:nvSpPr>
      <dsp:spPr>
        <a:xfrm>
          <a:off x="3429264" y="561170"/>
          <a:ext cx="290426" cy="339744"/>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3429264" y="629119"/>
        <a:ext cx="203298" cy="203846"/>
      </dsp:txXfrm>
    </dsp:sp>
    <dsp:sp modelId="{9FD67D1C-CF56-4EAC-8448-282996090792}">
      <dsp:nvSpPr>
        <dsp:cNvPr id="0" name=""/>
        <dsp:cNvSpPr/>
      </dsp:nvSpPr>
      <dsp:spPr>
        <a:xfrm>
          <a:off x="3840246" y="151494"/>
          <a:ext cx="1369938" cy="1159096"/>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3. Context</a:t>
          </a:r>
        </a:p>
        <a:p>
          <a:pPr marL="57150" lvl="1" indent="-57150" algn="l" defTabSz="444500">
            <a:lnSpc>
              <a:spcPct val="90000"/>
            </a:lnSpc>
            <a:spcBef>
              <a:spcPct val="0"/>
            </a:spcBef>
            <a:spcAft>
              <a:spcPct val="15000"/>
            </a:spcAft>
            <a:buChar char="•"/>
          </a:pPr>
          <a:r>
            <a:rPr lang="da-DK" sz="1000" kern="1200">
              <a:solidFill>
                <a:sysClr val="windowText" lastClr="000000"/>
              </a:solidFill>
            </a:rPr>
            <a:t>Relevance to the context in which Arbejdernes Landsbank operates in</a:t>
          </a:r>
        </a:p>
      </dsp:txBody>
      <dsp:txXfrm>
        <a:off x="3874195" y="185443"/>
        <a:ext cx="1302040" cy="1091198"/>
      </dsp:txXfrm>
    </dsp:sp>
    <dsp:sp modelId="{3F66EFE5-E9C4-4B0F-B020-D083DCCEE142}">
      <dsp:nvSpPr>
        <dsp:cNvPr id="0" name=""/>
        <dsp:cNvSpPr/>
      </dsp:nvSpPr>
      <dsp:spPr>
        <a:xfrm>
          <a:off x="5347178" y="561170"/>
          <a:ext cx="290426" cy="339744"/>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5347178" y="629119"/>
        <a:ext cx="203298" cy="203846"/>
      </dsp:txXfrm>
    </dsp:sp>
    <dsp:sp modelId="{91CADBF6-26CD-4FC1-8DDC-B4AEF7473C17}">
      <dsp:nvSpPr>
        <dsp:cNvPr id="0" name=""/>
        <dsp:cNvSpPr/>
      </dsp:nvSpPr>
      <dsp:spPr>
        <a:xfrm>
          <a:off x="5758159" y="151494"/>
          <a:ext cx="1369938" cy="1159096"/>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4. Impact</a:t>
          </a:r>
        </a:p>
        <a:p>
          <a:pPr marL="57150" lvl="1" indent="-57150" algn="l" defTabSz="444500">
            <a:lnSpc>
              <a:spcPct val="90000"/>
            </a:lnSpc>
            <a:spcBef>
              <a:spcPct val="0"/>
            </a:spcBef>
            <a:spcAft>
              <a:spcPct val="15000"/>
            </a:spcAft>
            <a:buChar char="•"/>
          </a:pPr>
          <a:r>
            <a:rPr lang="da-DK" sz="1000" kern="1200">
              <a:solidFill>
                <a:sysClr val="windowText" lastClr="000000"/>
              </a:solidFill>
            </a:rPr>
            <a:t>Identification of potential impact areas in Arbejdernes Landsbank </a:t>
          </a:r>
        </a:p>
      </dsp:txBody>
      <dsp:txXfrm>
        <a:off x="5792108" y="185443"/>
        <a:ext cx="1302040" cy="1091198"/>
      </dsp:txXfrm>
    </dsp:sp>
    <dsp:sp modelId="{4176FC87-2D0D-476F-A03C-F23494C0EE96}">
      <dsp:nvSpPr>
        <dsp:cNvPr id="0" name=""/>
        <dsp:cNvSpPr/>
      </dsp:nvSpPr>
      <dsp:spPr>
        <a:xfrm>
          <a:off x="7265092" y="561170"/>
          <a:ext cx="290426" cy="339744"/>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7265092" y="629119"/>
        <a:ext cx="203298" cy="203846"/>
      </dsp:txXfrm>
    </dsp:sp>
    <dsp:sp modelId="{8B999729-95E1-486D-9AD1-2765A332A8C5}">
      <dsp:nvSpPr>
        <dsp:cNvPr id="0" name=""/>
        <dsp:cNvSpPr/>
      </dsp:nvSpPr>
      <dsp:spPr>
        <a:xfrm>
          <a:off x="7676073" y="151494"/>
          <a:ext cx="1369938" cy="1159096"/>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5. Performance</a:t>
          </a:r>
        </a:p>
        <a:p>
          <a:pPr marL="57150" lvl="1" indent="-57150" algn="l" defTabSz="444500">
            <a:lnSpc>
              <a:spcPct val="90000"/>
            </a:lnSpc>
            <a:spcBef>
              <a:spcPct val="0"/>
            </a:spcBef>
            <a:spcAft>
              <a:spcPct val="15000"/>
            </a:spcAft>
            <a:buChar char="•"/>
          </a:pPr>
          <a:r>
            <a:rPr lang="da-DK" sz="1000" kern="1200">
              <a:solidFill>
                <a:sysClr val="windowText" lastClr="000000"/>
              </a:solidFill>
            </a:rPr>
            <a:t>Quantification of the most important impact area in Arbejdernes Landsbank</a:t>
          </a:r>
        </a:p>
      </dsp:txBody>
      <dsp:txXfrm>
        <a:off x="7710022" y="185443"/>
        <a:ext cx="1302040" cy="109119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24398FD-4CEB-43EC-8936-A14261EFA0F5}">
      <dsp:nvSpPr>
        <dsp:cNvPr id="0" name=""/>
        <dsp:cNvSpPr/>
      </dsp:nvSpPr>
      <dsp:spPr>
        <a:xfrm>
          <a:off x="4419" y="226145"/>
          <a:ext cx="1369938" cy="1009794"/>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1. Scope</a:t>
          </a:r>
        </a:p>
        <a:p>
          <a:pPr marL="57150" lvl="1" indent="-57150" algn="l" defTabSz="444500">
            <a:lnSpc>
              <a:spcPct val="90000"/>
            </a:lnSpc>
            <a:spcBef>
              <a:spcPct val="0"/>
            </a:spcBef>
            <a:spcAft>
              <a:spcPct val="15000"/>
            </a:spcAft>
            <a:buChar char="•"/>
          </a:pPr>
          <a:r>
            <a:rPr lang="da-DK" sz="1000" kern="1200">
              <a:solidFill>
                <a:sysClr val="windowText" lastClr="000000"/>
              </a:solidFill>
            </a:rPr>
            <a:t>Main activities in the group</a:t>
          </a:r>
        </a:p>
      </dsp:txBody>
      <dsp:txXfrm>
        <a:off x="33995" y="255721"/>
        <a:ext cx="1310786" cy="950642"/>
      </dsp:txXfrm>
    </dsp:sp>
    <dsp:sp modelId="{D803392C-8B36-448D-A085-68BE270A8412}">
      <dsp:nvSpPr>
        <dsp:cNvPr id="0" name=""/>
        <dsp:cNvSpPr/>
      </dsp:nvSpPr>
      <dsp:spPr>
        <a:xfrm>
          <a:off x="1511351" y="561170"/>
          <a:ext cx="290426" cy="339744"/>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1511351" y="629119"/>
        <a:ext cx="203298" cy="203846"/>
      </dsp:txXfrm>
    </dsp:sp>
    <dsp:sp modelId="{2ADB5DF2-20D0-4223-B666-54C0479B48D8}">
      <dsp:nvSpPr>
        <dsp:cNvPr id="0" name=""/>
        <dsp:cNvSpPr/>
      </dsp:nvSpPr>
      <dsp:spPr>
        <a:xfrm>
          <a:off x="1922332" y="226145"/>
          <a:ext cx="1369938" cy="1009794"/>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2. Scale</a:t>
          </a:r>
        </a:p>
        <a:p>
          <a:pPr marL="57150" lvl="1" indent="-57150" algn="l" defTabSz="444500">
            <a:lnSpc>
              <a:spcPct val="90000"/>
            </a:lnSpc>
            <a:spcBef>
              <a:spcPct val="0"/>
            </a:spcBef>
            <a:spcAft>
              <a:spcPct val="15000"/>
            </a:spcAft>
            <a:buChar char="•"/>
          </a:pPr>
          <a:r>
            <a:rPr lang="da-DK" sz="1000" kern="1200">
              <a:solidFill>
                <a:sysClr val="windowText" lastClr="000000"/>
              </a:solidFill>
            </a:rPr>
            <a:t>Identification of composition of portfolio in the group</a:t>
          </a:r>
        </a:p>
      </dsp:txBody>
      <dsp:txXfrm>
        <a:off x="1951908" y="255721"/>
        <a:ext cx="1310786" cy="950642"/>
      </dsp:txXfrm>
    </dsp:sp>
    <dsp:sp modelId="{1C47B827-817F-4BB6-A8A9-3A93A505CDCB}">
      <dsp:nvSpPr>
        <dsp:cNvPr id="0" name=""/>
        <dsp:cNvSpPr/>
      </dsp:nvSpPr>
      <dsp:spPr>
        <a:xfrm>
          <a:off x="3429264" y="561170"/>
          <a:ext cx="290426" cy="339744"/>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3429264" y="629119"/>
        <a:ext cx="203298" cy="203846"/>
      </dsp:txXfrm>
    </dsp:sp>
    <dsp:sp modelId="{9FD67D1C-CF56-4EAC-8448-282996090792}">
      <dsp:nvSpPr>
        <dsp:cNvPr id="0" name=""/>
        <dsp:cNvSpPr/>
      </dsp:nvSpPr>
      <dsp:spPr>
        <a:xfrm>
          <a:off x="3840246" y="226145"/>
          <a:ext cx="1369938" cy="1009794"/>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3. Context</a:t>
          </a:r>
        </a:p>
        <a:p>
          <a:pPr marL="57150" lvl="1" indent="-57150" algn="l" defTabSz="444500">
            <a:lnSpc>
              <a:spcPct val="90000"/>
            </a:lnSpc>
            <a:spcBef>
              <a:spcPct val="0"/>
            </a:spcBef>
            <a:spcAft>
              <a:spcPct val="15000"/>
            </a:spcAft>
            <a:buChar char="•"/>
          </a:pPr>
          <a:r>
            <a:rPr lang="da-DK" sz="1000" kern="1200">
              <a:solidFill>
                <a:sysClr val="windowText" lastClr="000000"/>
              </a:solidFill>
            </a:rPr>
            <a:t>Relevance to the context in which the group operates</a:t>
          </a:r>
        </a:p>
      </dsp:txBody>
      <dsp:txXfrm>
        <a:off x="3869822" y="255721"/>
        <a:ext cx="1310786" cy="950642"/>
      </dsp:txXfrm>
    </dsp:sp>
    <dsp:sp modelId="{3F66EFE5-E9C4-4B0F-B020-D083DCCEE142}">
      <dsp:nvSpPr>
        <dsp:cNvPr id="0" name=""/>
        <dsp:cNvSpPr/>
      </dsp:nvSpPr>
      <dsp:spPr>
        <a:xfrm>
          <a:off x="5347178" y="561170"/>
          <a:ext cx="290426" cy="339744"/>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5347178" y="629119"/>
        <a:ext cx="203298" cy="203846"/>
      </dsp:txXfrm>
    </dsp:sp>
    <dsp:sp modelId="{91CADBF6-26CD-4FC1-8DDC-B4AEF7473C17}">
      <dsp:nvSpPr>
        <dsp:cNvPr id="0" name=""/>
        <dsp:cNvSpPr/>
      </dsp:nvSpPr>
      <dsp:spPr>
        <a:xfrm>
          <a:off x="5758159" y="226145"/>
          <a:ext cx="1369938" cy="1009794"/>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4. Impact</a:t>
          </a:r>
        </a:p>
        <a:p>
          <a:pPr marL="57150" lvl="1" indent="-57150" algn="l" defTabSz="444500">
            <a:lnSpc>
              <a:spcPct val="90000"/>
            </a:lnSpc>
            <a:spcBef>
              <a:spcPct val="0"/>
            </a:spcBef>
            <a:spcAft>
              <a:spcPct val="15000"/>
            </a:spcAft>
            <a:buChar char="•"/>
          </a:pPr>
          <a:r>
            <a:rPr lang="da-DK" sz="1000" kern="1200">
              <a:solidFill>
                <a:sysClr val="windowText" lastClr="000000"/>
              </a:solidFill>
            </a:rPr>
            <a:t>Identification of potential impact areas in the group</a:t>
          </a:r>
        </a:p>
      </dsp:txBody>
      <dsp:txXfrm>
        <a:off x="5787735" y="255721"/>
        <a:ext cx="1310786" cy="950642"/>
      </dsp:txXfrm>
    </dsp:sp>
    <dsp:sp modelId="{4176FC87-2D0D-476F-A03C-F23494C0EE96}">
      <dsp:nvSpPr>
        <dsp:cNvPr id="0" name=""/>
        <dsp:cNvSpPr/>
      </dsp:nvSpPr>
      <dsp:spPr>
        <a:xfrm>
          <a:off x="7265092" y="561170"/>
          <a:ext cx="290426" cy="339744"/>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7265092" y="629119"/>
        <a:ext cx="203298" cy="203846"/>
      </dsp:txXfrm>
    </dsp:sp>
    <dsp:sp modelId="{8B999729-95E1-486D-9AD1-2765A332A8C5}">
      <dsp:nvSpPr>
        <dsp:cNvPr id="0" name=""/>
        <dsp:cNvSpPr/>
      </dsp:nvSpPr>
      <dsp:spPr>
        <a:xfrm>
          <a:off x="7676073" y="226145"/>
          <a:ext cx="1369938" cy="1009794"/>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5. Performance</a:t>
          </a:r>
        </a:p>
        <a:p>
          <a:pPr marL="57150" lvl="1" indent="-57150" algn="l" defTabSz="444500">
            <a:lnSpc>
              <a:spcPct val="90000"/>
            </a:lnSpc>
            <a:spcBef>
              <a:spcPct val="0"/>
            </a:spcBef>
            <a:spcAft>
              <a:spcPct val="15000"/>
            </a:spcAft>
            <a:buChar char="•"/>
          </a:pPr>
          <a:r>
            <a:rPr lang="da-DK" sz="1000" kern="1200">
              <a:solidFill>
                <a:sysClr val="windowText" lastClr="000000"/>
              </a:solidFill>
            </a:rPr>
            <a:t>Quantification of the most significant impact area in the group</a:t>
          </a:r>
        </a:p>
      </dsp:txBody>
      <dsp:txXfrm>
        <a:off x="7705649" y="255721"/>
        <a:ext cx="1310786" cy="950642"/>
      </dsp:txXfrm>
    </dsp:sp>
  </dsp:spTree>
</dsp:drawing>
</file>

<file path=xl/diagrams/layout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diagramLayout" Target="../diagrams/layout1.xml"/><Relationship Id="rId7" Type="http://schemas.openxmlformats.org/officeDocument/2006/relationships/image" Target="../media/image3.png"/><Relationship Id="rId2" Type="http://schemas.openxmlformats.org/officeDocument/2006/relationships/diagramData" Target="../diagrams/data1.xml"/><Relationship Id="rId1" Type="http://schemas.openxmlformats.org/officeDocument/2006/relationships/image" Target="../media/image2.png"/><Relationship Id="rId6" Type="http://schemas.microsoft.com/office/2007/relationships/diagramDrawing" Target="../diagrams/drawing1.xml"/><Relationship Id="rId5" Type="http://schemas.openxmlformats.org/officeDocument/2006/relationships/diagramColors" Target="../diagrams/colors1.xml"/><Relationship Id="rId10" Type="http://schemas.openxmlformats.org/officeDocument/2006/relationships/image" Target="../media/image6.png"/><Relationship Id="rId4" Type="http://schemas.openxmlformats.org/officeDocument/2006/relationships/diagramQuickStyle" Target="../diagrams/quickStyle1.xml"/><Relationship Id="rId9"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diagramLayout" Target="../diagrams/layout2.xml"/><Relationship Id="rId7" Type="http://schemas.openxmlformats.org/officeDocument/2006/relationships/image" Target="../media/image3.png"/><Relationship Id="rId2" Type="http://schemas.openxmlformats.org/officeDocument/2006/relationships/diagramData" Target="../diagrams/data2.xml"/><Relationship Id="rId1" Type="http://schemas.openxmlformats.org/officeDocument/2006/relationships/image" Target="../media/image2.png"/><Relationship Id="rId6" Type="http://schemas.microsoft.com/office/2007/relationships/diagramDrawing" Target="../diagrams/drawing2.xml"/><Relationship Id="rId5" Type="http://schemas.openxmlformats.org/officeDocument/2006/relationships/diagramColors" Target="../diagrams/colors2.xml"/><Relationship Id="rId10" Type="http://schemas.openxmlformats.org/officeDocument/2006/relationships/image" Target="../media/image7.png"/><Relationship Id="rId4" Type="http://schemas.openxmlformats.org/officeDocument/2006/relationships/diagramQuickStyle" Target="../diagrams/quickStyle2.xml"/><Relationship Id="rId9"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0.png"/><Relationship Id="rId7" Type="http://schemas.openxmlformats.org/officeDocument/2006/relationships/image" Target="../media/image14.png"/><Relationship Id="rId12" Type="http://schemas.openxmlformats.org/officeDocument/2006/relationships/image" Target="../media/image19.gif"/><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5" Type="http://schemas.openxmlformats.org/officeDocument/2006/relationships/image" Target="../media/image12.png"/><Relationship Id="rId10" Type="http://schemas.openxmlformats.org/officeDocument/2006/relationships/image" Target="../media/image17.png"/><Relationship Id="rId4" Type="http://schemas.openxmlformats.org/officeDocument/2006/relationships/image" Target="../media/image11.png"/><Relationship Id="rId9"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6229349</xdr:colOff>
      <xdr:row>0</xdr:row>
      <xdr:rowOff>399903</xdr:rowOff>
    </xdr:from>
    <xdr:to>
      <xdr:col>0</xdr:col>
      <xdr:colOff>8639458</xdr:colOff>
      <xdr:row>0</xdr:row>
      <xdr:rowOff>616300</xdr:rowOff>
    </xdr:to>
    <xdr:pic>
      <xdr:nvPicPr>
        <xdr:cNvPr id="3" name="Billede 2">
          <a:extLst>
            <a:ext uri="{FF2B5EF4-FFF2-40B4-BE49-F238E27FC236}">
              <a16:creationId xmlns:a16="http://schemas.microsoft.com/office/drawing/2014/main" id="{04862F82-F9AC-4884-938B-4A4BC99668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229349" y="399903"/>
          <a:ext cx="2410109" cy="2163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66675</xdr:colOff>
      <xdr:row>1</xdr:row>
      <xdr:rowOff>276225</xdr:rowOff>
    </xdr:from>
    <xdr:to>
      <xdr:col>14</xdr:col>
      <xdr:colOff>517612</xdr:colOff>
      <xdr:row>1</xdr:row>
      <xdr:rowOff>990600</xdr:rowOff>
    </xdr:to>
    <xdr:pic>
      <xdr:nvPicPr>
        <xdr:cNvPr id="2" name="Billede 1">
          <a:extLst>
            <a:ext uri="{FF2B5EF4-FFF2-40B4-BE49-F238E27FC236}">
              <a16:creationId xmlns:a16="http://schemas.microsoft.com/office/drawing/2014/main" id="{A587394B-0408-4A13-8269-B801EA1CF3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91475" y="723900"/>
          <a:ext cx="1060537" cy="714375"/>
        </a:xfrm>
        <a:prstGeom prst="rect">
          <a:avLst/>
        </a:prstGeom>
      </xdr:spPr>
    </xdr:pic>
    <xdr:clientData/>
  </xdr:twoCellAnchor>
  <xdr:twoCellAnchor>
    <xdr:from>
      <xdr:col>0</xdr:col>
      <xdr:colOff>66675</xdr:colOff>
      <xdr:row>1</xdr:row>
      <xdr:rowOff>1885950</xdr:rowOff>
    </xdr:from>
    <xdr:to>
      <xdr:col>14</xdr:col>
      <xdr:colOff>582706</xdr:colOff>
      <xdr:row>1</xdr:row>
      <xdr:rowOff>3348036</xdr:rowOff>
    </xdr:to>
    <xdr:graphicFrame macro="">
      <xdr:nvGraphicFramePr>
        <xdr:cNvPr id="3" name="Diagram 2">
          <a:extLst>
            <a:ext uri="{FF2B5EF4-FFF2-40B4-BE49-F238E27FC236}">
              <a16:creationId xmlns:a16="http://schemas.microsoft.com/office/drawing/2014/main" id="{A53B53AC-86CF-469F-9CDC-13B87A13632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0</xdr:col>
      <xdr:colOff>22412</xdr:colOff>
      <xdr:row>38</xdr:row>
      <xdr:rowOff>22412</xdr:rowOff>
    </xdr:from>
    <xdr:to>
      <xdr:col>7</xdr:col>
      <xdr:colOff>83366</xdr:colOff>
      <xdr:row>38</xdr:row>
      <xdr:rowOff>2993387</xdr:rowOff>
    </xdr:to>
    <xdr:pic>
      <xdr:nvPicPr>
        <xdr:cNvPr id="4" name="Billede 3">
          <a:extLst>
            <a:ext uri="{FF2B5EF4-FFF2-40B4-BE49-F238E27FC236}">
              <a16:creationId xmlns:a16="http://schemas.microsoft.com/office/drawing/2014/main" id="{906F7096-F986-4595-B343-CD54D73A0682}"/>
            </a:ext>
          </a:extLst>
        </xdr:cNvPr>
        <xdr:cNvPicPr>
          <a:picLocks noChangeAspect="1"/>
        </xdr:cNvPicPr>
      </xdr:nvPicPr>
      <xdr:blipFill>
        <a:blip xmlns:r="http://schemas.openxmlformats.org/officeDocument/2006/relationships" r:embed="rId7"/>
        <a:stretch>
          <a:fillRect/>
        </a:stretch>
      </xdr:blipFill>
      <xdr:spPr>
        <a:xfrm>
          <a:off x="22412" y="17405537"/>
          <a:ext cx="4328154" cy="2970975"/>
        </a:xfrm>
        <a:prstGeom prst="rect">
          <a:avLst/>
        </a:prstGeom>
      </xdr:spPr>
    </xdr:pic>
    <xdr:clientData/>
  </xdr:twoCellAnchor>
  <xdr:twoCellAnchor editAs="oneCell">
    <xdr:from>
      <xdr:col>7</xdr:col>
      <xdr:colOff>537882</xdr:colOff>
      <xdr:row>38</xdr:row>
      <xdr:rowOff>44823</xdr:rowOff>
    </xdr:from>
    <xdr:to>
      <xdr:col>14</xdr:col>
      <xdr:colOff>600459</xdr:colOff>
      <xdr:row>38</xdr:row>
      <xdr:rowOff>3016920</xdr:rowOff>
    </xdr:to>
    <xdr:pic>
      <xdr:nvPicPr>
        <xdr:cNvPr id="5" name="Billede 4">
          <a:extLst>
            <a:ext uri="{FF2B5EF4-FFF2-40B4-BE49-F238E27FC236}">
              <a16:creationId xmlns:a16="http://schemas.microsoft.com/office/drawing/2014/main" id="{FEEB6FCA-9B58-4EC1-AE5C-E46AA587C40B}"/>
            </a:ext>
          </a:extLst>
        </xdr:cNvPr>
        <xdr:cNvPicPr>
          <a:picLocks noChangeAspect="1"/>
        </xdr:cNvPicPr>
      </xdr:nvPicPr>
      <xdr:blipFill>
        <a:blip xmlns:r="http://schemas.openxmlformats.org/officeDocument/2006/relationships" r:embed="rId8"/>
        <a:stretch>
          <a:fillRect/>
        </a:stretch>
      </xdr:blipFill>
      <xdr:spPr>
        <a:xfrm>
          <a:off x="4805082" y="17427948"/>
          <a:ext cx="4329777" cy="2972097"/>
        </a:xfrm>
        <a:prstGeom prst="rect">
          <a:avLst/>
        </a:prstGeom>
      </xdr:spPr>
    </xdr:pic>
    <xdr:clientData/>
  </xdr:twoCellAnchor>
  <xdr:twoCellAnchor editAs="oneCell">
    <xdr:from>
      <xdr:col>0</xdr:col>
      <xdr:colOff>27214</xdr:colOff>
      <xdr:row>40</xdr:row>
      <xdr:rowOff>13606</xdr:rowOff>
    </xdr:from>
    <xdr:to>
      <xdr:col>7</xdr:col>
      <xdr:colOff>175845</xdr:colOff>
      <xdr:row>40</xdr:row>
      <xdr:rowOff>3059791</xdr:rowOff>
    </xdr:to>
    <xdr:pic>
      <xdr:nvPicPr>
        <xdr:cNvPr id="6" name="Billede 5">
          <a:extLst>
            <a:ext uri="{FF2B5EF4-FFF2-40B4-BE49-F238E27FC236}">
              <a16:creationId xmlns:a16="http://schemas.microsoft.com/office/drawing/2014/main" id="{C0D4945B-4BAF-4EF6-B4D7-307E334E097A}"/>
            </a:ext>
          </a:extLst>
        </xdr:cNvPr>
        <xdr:cNvPicPr>
          <a:picLocks noChangeAspect="1"/>
        </xdr:cNvPicPr>
      </xdr:nvPicPr>
      <xdr:blipFill>
        <a:blip xmlns:r="http://schemas.openxmlformats.org/officeDocument/2006/relationships" r:embed="rId9"/>
        <a:stretch>
          <a:fillRect/>
        </a:stretch>
      </xdr:blipFill>
      <xdr:spPr>
        <a:xfrm>
          <a:off x="27214" y="20654281"/>
          <a:ext cx="4415831" cy="3046185"/>
        </a:xfrm>
        <a:prstGeom prst="rect">
          <a:avLst/>
        </a:prstGeom>
      </xdr:spPr>
    </xdr:pic>
    <xdr:clientData/>
  </xdr:twoCellAnchor>
  <xdr:twoCellAnchor editAs="oneCell">
    <xdr:from>
      <xdr:col>7</xdr:col>
      <xdr:colOff>444304</xdr:colOff>
      <xdr:row>40</xdr:row>
      <xdr:rowOff>10449</xdr:rowOff>
    </xdr:from>
    <xdr:to>
      <xdr:col>15</xdr:col>
      <xdr:colOff>0</xdr:colOff>
      <xdr:row>40</xdr:row>
      <xdr:rowOff>3064329</xdr:rowOff>
    </xdr:to>
    <xdr:pic>
      <xdr:nvPicPr>
        <xdr:cNvPr id="7" name="Billede 6">
          <a:extLst>
            <a:ext uri="{FF2B5EF4-FFF2-40B4-BE49-F238E27FC236}">
              <a16:creationId xmlns:a16="http://schemas.microsoft.com/office/drawing/2014/main" id="{930109DA-0645-4696-8814-9B9341A783D3}"/>
            </a:ext>
          </a:extLst>
        </xdr:cNvPr>
        <xdr:cNvPicPr>
          <a:picLocks noChangeAspect="1"/>
        </xdr:cNvPicPr>
      </xdr:nvPicPr>
      <xdr:blipFill>
        <a:blip xmlns:r="http://schemas.openxmlformats.org/officeDocument/2006/relationships" r:embed="rId10"/>
        <a:stretch>
          <a:fillRect/>
        </a:stretch>
      </xdr:blipFill>
      <xdr:spPr>
        <a:xfrm>
          <a:off x="4711504" y="20651124"/>
          <a:ext cx="4432496" cy="30538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66675</xdr:colOff>
      <xdr:row>1</xdr:row>
      <xdr:rowOff>276225</xdr:rowOff>
    </xdr:from>
    <xdr:to>
      <xdr:col>14</xdr:col>
      <xdr:colOff>517612</xdr:colOff>
      <xdr:row>1</xdr:row>
      <xdr:rowOff>990600</xdr:rowOff>
    </xdr:to>
    <xdr:pic>
      <xdr:nvPicPr>
        <xdr:cNvPr id="2" name="Billede 1">
          <a:extLst>
            <a:ext uri="{FF2B5EF4-FFF2-40B4-BE49-F238E27FC236}">
              <a16:creationId xmlns:a16="http://schemas.microsoft.com/office/drawing/2014/main" id="{42A4D111-0B6C-47A3-836E-E0D5B9CE2F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91475" y="723900"/>
          <a:ext cx="1060537" cy="714375"/>
        </a:xfrm>
        <a:prstGeom prst="rect">
          <a:avLst/>
        </a:prstGeom>
      </xdr:spPr>
    </xdr:pic>
    <xdr:clientData/>
  </xdr:twoCellAnchor>
  <xdr:twoCellAnchor>
    <xdr:from>
      <xdr:col>0</xdr:col>
      <xdr:colOff>66675</xdr:colOff>
      <xdr:row>1</xdr:row>
      <xdr:rowOff>1885950</xdr:rowOff>
    </xdr:from>
    <xdr:to>
      <xdr:col>14</xdr:col>
      <xdr:colOff>582706</xdr:colOff>
      <xdr:row>1</xdr:row>
      <xdr:rowOff>3348036</xdr:rowOff>
    </xdr:to>
    <xdr:graphicFrame macro="">
      <xdr:nvGraphicFramePr>
        <xdr:cNvPr id="3" name="Diagram 2">
          <a:extLst>
            <a:ext uri="{FF2B5EF4-FFF2-40B4-BE49-F238E27FC236}">
              <a16:creationId xmlns:a16="http://schemas.microsoft.com/office/drawing/2014/main" id="{AE8B5573-9109-4BE4-BCB3-E61864FD00E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0</xdr:col>
      <xdr:colOff>0</xdr:colOff>
      <xdr:row>39</xdr:row>
      <xdr:rowOff>11205</xdr:rowOff>
    </xdr:from>
    <xdr:to>
      <xdr:col>7</xdr:col>
      <xdr:colOff>60954</xdr:colOff>
      <xdr:row>39</xdr:row>
      <xdr:rowOff>2982180</xdr:rowOff>
    </xdr:to>
    <xdr:pic>
      <xdr:nvPicPr>
        <xdr:cNvPr id="6" name="Billede 5">
          <a:extLst>
            <a:ext uri="{FF2B5EF4-FFF2-40B4-BE49-F238E27FC236}">
              <a16:creationId xmlns:a16="http://schemas.microsoft.com/office/drawing/2014/main" id="{57CA6004-F101-4805-8538-4E6703F34C19}"/>
            </a:ext>
          </a:extLst>
        </xdr:cNvPr>
        <xdr:cNvPicPr>
          <a:picLocks noChangeAspect="1"/>
        </xdr:cNvPicPr>
      </xdr:nvPicPr>
      <xdr:blipFill>
        <a:blip xmlns:r="http://schemas.openxmlformats.org/officeDocument/2006/relationships" r:embed="rId7"/>
        <a:stretch>
          <a:fillRect/>
        </a:stretch>
      </xdr:blipFill>
      <xdr:spPr>
        <a:xfrm>
          <a:off x="0" y="20271440"/>
          <a:ext cx="4296778" cy="2970975"/>
        </a:xfrm>
        <a:prstGeom prst="rect">
          <a:avLst/>
        </a:prstGeom>
      </xdr:spPr>
    </xdr:pic>
    <xdr:clientData/>
  </xdr:twoCellAnchor>
  <xdr:twoCellAnchor editAs="oneCell">
    <xdr:from>
      <xdr:col>7</xdr:col>
      <xdr:colOff>537882</xdr:colOff>
      <xdr:row>39</xdr:row>
      <xdr:rowOff>0</xdr:rowOff>
    </xdr:from>
    <xdr:to>
      <xdr:col>14</xdr:col>
      <xdr:colOff>600459</xdr:colOff>
      <xdr:row>39</xdr:row>
      <xdr:rowOff>2972097</xdr:rowOff>
    </xdr:to>
    <xdr:pic>
      <xdr:nvPicPr>
        <xdr:cNvPr id="8" name="Billede 7">
          <a:extLst>
            <a:ext uri="{FF2B5EF4-FFF2-40B4-BE49-F238E27FC236}">
              <a16:creationId xmlns:a16="http://schemas.microsoft.com/office/drawing/2014/main" id="{70CB76D5-3E1B-4814-9E5B-AE63675B5164}"/>
            </a:ext>
          </a:extLst>
        </xdr:cNvPr>
        <xdr:cNvPicPr>
          <a:picLocks noChangeAspect="1"/>
        </xdr:cNvPicPr>
      </xdr:nvPicPr>
      <xdr:blipFill>
        <a:blip xmlns:r="http://schemas.openxmlformats.org/officeDocument/2006/relationships" r:embed="rId8"/>
        <a:stretch>
          <a:fillRect/>
        </a:stretch>
      </xdr:blipFill>
      <xdr:spPr>
        <a:xfrm>
          <a:off x="4773706" y="20260235"/>
          <a:ext cx="4298400" cy="2972097"/>
        </a:xfrm>
        <a:prstGeom prst="rect">
          <a:avLst/>
        </a:prstGeom>
      </xdr:spPr>
    </xdr:pic>
    <xdr:clientData/>
  </xdr:twoCellAnchor>
  <xdr:twoCellAnchor editAs="oneCell">
    <xdr:from>
      <xdr:col>0</xdr:col>
      <xdr:colOff>0</xdr:colOff>
      <xdr:row>41</xdr:row>
      <xdr:rowOff>11206</xdr:rowOff>
    </xdr:from>
    <xdr:to>
      <xdr:col>7</xdr:col>
      <xdr:colOff>148631</xdr:colOff>
      <xdr:row>41</xdr:row>
      <xdr:rowOff>3057391</xdr:rowOff>
    </xdr:to>
    <xdr:pic>
      <xdr:nvPicPr>
        <xdr:cNvPr id="10" name="Billede 9">
          <a:extLst>
            <a:ext uri="{FF2B5EF4-FFF2-40B4-BE49-F238E27FC236}">
              <a16:creationId xmlns:a16="http://schemas.microsoft.com/office/drawing/2014/main" id="{76EDB609-5564-47CC-94CB-8A3C86A6C667}"/>
            </a:ext>
          </a:extLst>
        </xdr:cNvPr>
        <xdr:cNvPicPr>
          <a:picLocks noChangeAspect="1"/>
        </xdr:cNvPicPr>
      </xdr:nvPicPr>
      <xdr:blipFill>
        <a:blip xmlns:r="http://schemas.openxmlformats.org/officeDocument/2006/relationships" r:embed="rId9"/>
        <a:stretch>
          <a:fillRect/>
        </a:stretch>
      </xdr:blipFill>
      <xdr:spPr>
        <a:xfrm>
          <a:off x="0" y="23532353"/>
          <a:ext cx="4384455" cy="3046185"/>
        </a:xfrm>
        <a:prstGeom prst="rect">
          <a:avLst/>
        </a:prstGeom>
      </xdr:spPr>
    </xdr:pic>
    <xdr:clientData/>
  </xdr:twoCellAnchor>
  <xdr:twoCellAnchor editAs="oneCell">
    <xdr:from>
      <xdr:col>7</xdr:col>
      <xdr:colOff>369095</xdr:colOff>
      <xdr:row>41</xdr:row>
      <xdr:rowOff>11205</xdr:rowOff>
    </xdr:from>
    <xdr:to>
      <xdr:col>14</xdr:col>
      <xdr:colOff>593919</xdr:colOff>
      <xdr:row>42</xdr:row>
      <xdr:rowOff>2920</xdr:rowOff>
    </xdr:to>
    <xdr:pic>
      <xdr:nvPicPr>
        <xdr:cNvPr id="15" name="Billede 14">
          <a:extLst>
            <a:ext uri="{FF2B5EF4-FFF2-40B4-BE49-F238E27FC236}">
              <a16:creationId xmlns:a16="http://schemas.microsoft.com/office/drawing/2014/main" id="{2695EADC-AB54-4106-B2D9-A4E1D4F21B59}"/>
            </a:ext>
          </a:extLst>
        </xdr:cNvPr>
        <xdr:cNvPicPr>
          <a:picLocks noChangeAspect="1"/>
        </xdr:cNvPicPr>
      </xdr:nvPicPr>
      <xdr:blipFill>
        <a:blip xmlns:r="http://schemas.openxmlformats.org/officeDocument/2006/relationships" r:embed="rId10"/>
        <a:stretch>
          <a:fillRect/>
        </a:stretch>
      </xdr:blipFill>
      <xdr:spPr>
        <a:xfrm>
          <a:off x="4619626" y="23115283"/>
          <a:ext cx="4475356" cy="3057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114300</xdr:colOff>
      <xdr:row>39</xdr:row>
      <xdr:rowOff>190500</xdr:rowOff>
    </xdr:from>
    <xdr:ext cx="723900" cy="485775"/>
    <xdr:pic>
      <xdr:nvPicPr>
        <xdr:cNvPr id="17" name="Billede 45">
          <a:extLst>
            <a:ext uri="{FF2B5EF4-FFF2-40B4-BE49-F238E27FC236}">
              <a16:creationId xmlns:a16="http://schemas.microsoft.com/office/drawing/2014/main" id="{1B5B9F0D-DE0F-4E4A-A428-3A90FDDE6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7025" y="12992100"/>
          <a:ext cx="723900" cy="485775"/>
        </a:xfrm>
        <a:prstGeom prst="rect">
          <a:avLst/>
        </a:prstGeom>
      </xdr:spPr>
    </xdr:pic>
    <xdr:clientData/>
  </xdr:oneCellAnchor>
  <xdr:oneCellAnchor>
    <xdr:from>
      <xdr:col>1</xdr:col>
      <xdr:colOff>57150</xdr:colOff>
      <xdr:row>40</xdr:row>
      <xdr:rowOff>276225</xdr:rowOff>
    </xdr:from>
    <xdr:ext cx="809625" cy="295275"/>
    <xdr:pic>
      <xdr:nvPicPr>
        <xdr:cNvPr id="16" name="Billede 46">
          <a:extLst>
            <a:ext uri="{FF2B5EF4-FFF2-40B4-BE49-F238E27FC236}">
              <a16:creationId xmlns:a16="http://schemas.microsoft.com/office/drawing/2014/main" id="{8CA31E7F-892D-487A-ABCB-1D4EBBAB2F00}"/>
            </a:ext>
            <a:ext uri="{147F2762-F138-4A5C-976F-8EAC2B608ADB}">
              <a16:predDERef xmlns:a16="http://schemas.microsoft.com/office/drawing/2014/main" pred="{3AAA1F84-35AE-488F-911E-BCD89BF1DF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09875" y="13963650"/>
          <a:ext cx="809625" cy="295275"/>
        </a:xfrm>
        <a:prstGeom prst="rect">
          <a:avLst/>
        </a:prstGeom>
      </xdr:spPr>
    </xdr:pic>
    <xdr:clientData/>
  </xdr:oneCellAnchor>
  <xdr:oneCellAnchor>
    <xdr:from>
      <xdr:col>1</xdr:col>
      <xdr:colOff>209550</xdr:colOff>
      <xdr:row>41</xdr:row>
      <xdr:rowOff>161925</xdr:rowOff>
    </xdr:from>
    <xdr:ext cx="476250" cy="552450"/>
    <xdr:pic>
      <xdr:nvPicPr>
        <xdr:cNvPr id="15" name="Billede 47">
          <a:extLst>
            <a:ext uri="{FF2B5EF4-FFF2-40B4-BE49-F238E27FC236}">
              <a16:creationId xmlns:a16="http://schemas.microsoft.com/office/drawing/2014/main" id="{D209748B-6E8D-48C4-8E1C-B92D87D9064C}"/>
            </a:ext>
            <a:ext uri="{147F2762-F138-4A5C-976F-8EAC2B608ADB}">
              <a16:predDERef xmlns:a16="http://schemas.microsoft.com/office/drawing/2014/main" pred="{574148E3-141A-4CE3-8FD9-467076F02A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62275" y="14735175"/>
          <a:ext cx="476250" cy="552450"/>
        </a:xfrm>
        <a:prstGeom prst="rect">
          <a:avLst/>
        </a:prstGeom>
      </xdr:spPr>
    </xdr:pic>
    <xdr:clientData/>
  </xdr:oneCellAnchor>
  <xdr:oneCellAnchor>
    <xdr:from>
      <xdr:col>1</xdr:col>
      <xdr:colOff>109008</xdr:colOff>
      <xdr:row>46</xdr:row>
      <xdr:rowOff>129119</xdr:rowOff>
    </xdr:from>
    <xdr:ext cx="634999" cy="634999"/>
    <xdr:pic>
      <xdr:nvPicPr>
        <xdr:cNvPr id="11" name="Billede 48">
          <a:extLst>
            <a:ext uri="{FF2B5EF4-FFF2-40B4-BE49-F238E27FC236}">
              <a16:creationId xmlns:a16="http://schemas.microsoft.com/office/drawing/2014/main" id="{7706B07A-9D89-4A9B-9288-99D4A945199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61733" y="19798244"/>
          <a:ext cx="634999" cy="634999"/>
        </a:xfrm>
        <a:prstGeom prst="rect">
          <a:avLst/>
        </a:prstGeom>
      </xdr:spPr>
    </xdr:pic>
    <xdr:clientData/>
  </xdr:oneCellAnchor>
  <xdr:oneCellAnchor>
    <xdr:from>
      <xdr:col>0</xdr:col>
      <xdr:colOff>2628899</xdr:colOff>
      <xdr:row>45</xdr:row>
      <xdr:rowOff>117476</xdr:rowOff>
    </xdr:from>
    <xdr:ext cx="1096385" cy="772582"/>
    <xdr:pic>
      <xdr:nvPicPr>
        <xdr:cNvPr id="10" name="Billede 49">
          <a:extLst>
            <a:ext uri="{FF2B5EF4-FFF2-40B4-BE49-F238E27FC236}">
              <a16:creationId xmlns:a16="http://schemas.microsoft.com/office/drawing/2014/main" id="{1B320941-46B0-46CF-81ED-B5A5DE30D672}"/>
            </a:ext>
            <a:ext uri="{147F2762-F138-4A5C-976F-8EAC2B608ADB}">
              <a16:predDERef xmlns:a16="http://schemas.microsoft.com/office/drawing/2014/main" pred="{2DA0FAF6-AB5A-46BA-9B43-1F442F8FEAA4}"/>
            </a:ext>
          </a:extLst>
        </xdr:cNvPr>
        <xdr:cNvPicPr>
          <a:picLocks noChangeAspect="1"/>
        </xdr:cNvPicPr>
      </xdr:nvPicPr>
      <xdr:blipFill>
        <a:blip xmlns:r="http://schemas.openxmlformats.org/officeDocument/2006/relationships" r:embed="rId5"/>
        <a:stretch>
          <a:fillRect/>
        </a:stretch>
      </xdr:blipFill>
      <xdr:spPr>
        <a:xfrm>
          <a:off x="2628899" y="18748376"/>
          <a:ext cx="1096385" cy="772582"/>
        </a:xfrm>
        <a:prstGeom prst="rect">
          <a:avLst/>
        </a:prstGeom>
      </xdr:spPr>
    </xdr:pic>
    <xdr:clientData/>
  </xdr:oneCellAnchor>
  <xdr:oneCellAnchor>
    <xdr:from>
      <xdr:col>0</xdr:col>
      <xdr:colOff>2660654</xdr:colOff>
      <xdr:row>42</xdr:row>
      <xdr:rowOff>129117</xdr:rowOff>
    </xdr:from>
    <xdr:ext cx="1132414" cy="724701"/>
    <xdr:pic>
      <xdr:nvPicPr>
        <xdr:cNvPr id="14" name="Billede 50">
          <a:extLst>
            <a:ext uri="{FF2B5EF4-FFF2-40B4-BE49-F238E27FC236}">
              <a16:creationId xmlns:a16="http://schemas.microsoft.com/office/drawing/2014/main" id="{385B727B-9CD9-4B00-8EF1-031E15E4407F}"/>
            </a:ext>
          </a:extLst>
        </xdr:cNvPr>
        <xdr:cNvPicPr>
          <a:picLocks noChangeAspect="1"/>
        </xdr:cNvPicPr>
      </xdr:nvPicPr>
      <xdr:blipFill>
        <a:blip xmlns:r="http://schemas.openxmlformats.org/officeDocument/2006/relationships" r:embed="rId6"/>
        <a:stretch>
          <a:fillRect/>
        </a:stretch>
      </xdr:blipFill>
      <xdr:spPr>
        <a:xfrm>
          <a:off x="2660654" y="15588192"/>
          <a:ext cx="1132414" cy="724701"/>
        </a:xfrm>
        <a:prstGeom prst="rect">
          <a:avLst/>
        </a:prstGeom>
      </xdr:spPr>
    </xdr:pic>
    <xdr:clientData/>
  </xdr:oneCellAnchor>
  <xdr:oneCellAnchor>
    <xdr:from>
      <xdr:col>1</xdr:col>
      <xdr:colOff>107953</xdr:colOff>
      <xdr:row>43</xdr:row>
      <xdr:rowOff>141816</xdr:rowOff>
    </xdr:from>
    <xdr:ext cx="693828" cy="1026583"/>
    <xdr:pic>
      <xdr:nvPicPr>
        <xdr:cNvPr id="13" name="Billede 51">
          <a:extLst>
            <a:ext uri="{FF2B5EF4-FFF2-40B4-BE49-F238E27FC236}">
              <a16:creationId xmlns:a16="http://schemas.microsoft.com/office/drawing/2014/main" id="{B6B3FD96-8D13-4328-87E2-F880B4D697DF}"/>
            </a:ext>
          </a:extLst>
        </xdr:cNvPr>
        <xdr:cNvPicPr>
          <a:picLocks noChangeAspect="1"/>
        </xdr:cNvPicPr>
      </xdr:nvPicPr>
      <xdr:blipFill rotWithShape="1">
        <a:blip xmlns:r="http://schemas.openxmlformats.org/officeDocument/2006/relationships" r:embed="rId7"/>
        <a:srcRect r="5309"/>
        <a:stretch/>
      </xdr:blipFill>
      <xdr:spPr>
        <a:xfrm>
          <a:off x="2860678" y="16610541"/>
          <a:ext cx="693828" cy="1026583"/>
        </a:xfrm>
        <a:prstGeom prst="rect">
          <a:avLst/>
        </a:prstGeom>
      </xdr:spPr>
    </xdr:pic>
    <xdr:clientData/>
  </xdr:oneCellAnchor>
  <xdr:oneCellAnchor>
    <xdr:from>
      <xdr:col>0</xdr:col>
      <xdr:colOff>2735793</xdr:colOff>
      <xdr:row>44</xdr:row>
      <xdr:rowOff>383117</xdr:rowOff>
    </xdr:from>
    <xdr:ext cx="941916" cy="151074"/>
    <xdr:pic>
      <xdr:nvPicPr>
        <xdr:cNvPr id="12" name="Billede 54">
          <a:extLst>
            <a:ext uri="{FF2B5EF4-FFF2-40B4-BE49-F238E27FC236}">
              <a16:creationId xmlns:a16="http://schemas.microsoft.com/office/drawing/2014/main" id="{E1380B1E-A4DB-4CCF-9D3C-0CBB04BACA8C}"/>
            </a:ext>
          </a:extLst>
        </xdr:cNvPr>
        <xdr:cNvPicPr>
          <a:picLocks noChangeAspect="1"/>
        </xdr:cNvPicPr>
      </xdr:nvPicPr>
      <xdr:blipFill>
        <a:blip xmlns:r="http://schemas.openxmlformats.org/officeDocument/2006/relationships" r:embed="rId8"/>
        <a:stretch>
          <a:fillRect/>
        </a:stretch>
      </xdr:blipFill>
      <xdr:spPr>
        <a:xfrm>
          <a:off x="2735793" y="18128192"/>
          <a:ext cx="941916" cy="151074"/>
        </a:xfrm>
        <a:prstGeom prst="rect">
          <a:avLst/>
        </a:prstGeom>
      </xdr:spPr>
    </xdr:pic>
    <xdr:clientData/>
  </xdr:oneCellAnchor>
  <xdr:oneCellAnchor>
    <xdr:from>
      <xdr:col>0</xdr:col>
      <xdr:colOff>2634316</xdr:colOff>
      <xdr:row>48</xdr:row>
      <xdr:rowOff>455304</xdr:rowOff>
    </xdr:from>
    <xdr:ext cx="826433" cy="492960"/>
    <xdr:pic>
      <xdr:nvPicPr>
        <xdr:cNvPr id="7" name="Billede 55" descr="Logo og pressebilleder - Det Nationale Sorgcenter">
          <a:extLst>
            <a:ext uri="{FF2B5EF4-FFF2-40B4-BE49-F238E27FC236}">
              <a16:creationId xmlns:a16="http://schemas.microsoft.com/office/drawing/2014/main" id="{E5A5AB91-95AE-4762-A2D1-9CB1338FA15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634316" y="21896079"/>
          <a:ext cx="826433" cy="4929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792692</xdr:colOff>
      <xdr:row>48</xdr:row>
      <xdr:rowOff>264584</xdr:rowOff>
    </xdr:from>
    <xdr:ext cx="529167" cy="529167"/>
    <xdr:pic>
      <xdr:nvPicPr>
        <xdr:cNvPr id="8" name="Billede 56" descr="KidsAid_Logo_Orginal_vertical_RGB">
          <a:extLst>
            <a:ext uri="{FF2B5EF4-FFF2-40B4-BE49-F238E27FC236}">
              <a16:creationId xmlns:a16="http://schemas.microsoft.com/office/drawing/2014/main" id="{24D09D85-1EE7-4924-8064-6367D55CEB0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545417" y="21705359"/>
          <a:ext cx="529167" cy="5291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2667000</xdr:colOff>
      <xdr:row>48</xdr:row>
      <xdr:rowOff>95252</xdr:rowOff>
    </xdr:from>
    <xdr:ext cx="756708" cy="342828"/>
    <xdr:pic>
      <xdr:nvPicPr>
        <xdr:cNvPr id="6" name="Billede 57" descr="logo">
          <a:extLst>
            <a:ext uri="{FF2B5EF4-FFF2-40B4-BE49-F238E27FC236}">
              <a16:creationId xmlns:a16="http://schemas.microsoft.com/office/drawing/2014/main" id="{D26834AE-C0A1-4556-A3AB-66DD746825D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667000" y="21536027"/>
          <a:ext cx="756708" cy="3428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2686050</xdr:colOff>
      <xdr:row>49</xdr:row>
      <xdr:rowOff>356814</xdr:rowOff>
    </xdr:from>
    <xdr:ext cx="1269507" cy="113985"/>
    <xdr:pic>
      <xdr:nvPicPr>
        <xdr:cNvPr id="5" name="Billede 58">
          <a:extLst>
            <a:ext uri="{FF2B5EF4-FFF2-40B4-BE49-F238E27FC236}">
              <a16:creationId xmlns:a16="http://schemas.microsoft.com/office/drawing/2014/main" id="{679F9E6B-1D2A-4718-81A1-D012CA1C388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2686050" y="22845339"/>
          <a:ext cx="1269507" cy="113985"/>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Steen Nilsson" id="{C10B1D4E-B860-48F4-B6A3-7F2BCF841076}" userId="S::b204820@al-bank.dk::d54594ac-8522-4e3c-af46-a991931d7fd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1" dT="2023-01-10T08:06:24.97" personId="{C10B1D4E-B860-48F4-B6A3-7F2BCF841076}" id="{4D491418-0F77-4B66-BD02-BAB76222A04D}">
    <text>Se celle A22</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8" Type="http://schemas.openxmlformats.org/officeDocument/2006/relationships/hyperlink" Target="https://al-bank-prod.imgix.net/biyfpqdc/adfaerdsregler-code-of-conduct-december-2022.pdf" TargetMode="External"/><Relationship Id="rId13" Type="http://schemas.openxmlformats.org/officeDocument/2006/relationships/hyperlink" Target="https://al-bank-prod.imgix.net/mavpqm52/final-kommissorium-for-risikoudvalget-18-december-2023.pdf" TargetMode="External"/><Relationship Id="rId3" Type="http://schemas.openxmlformats.org/officeDocument/2006/relationships/hyperlink" Target="https://al-bank-prod.imgix.net/le0brc1a/erklaering-om-vaesentligste-negative-baeredygtighedspaavirkninger.pdf" TargetMode="External"/><Relationship Id="rId7" Type="http://schemas.openxmlformats.org/officeDocument/2006/relationships/hyperlink" Target="https://al-bank-prod.imgix.net/nfaaazy2/anbefalinger-for-god-selskabsledelse-feb-2023.pdf" TargetMode="External"/><Relationship Id="rId12" Type="http://schemas.openxmlformats.org/officeDocument/2006/relationships/hyperlink" Target="https://al-bank-prod.imgix.net/y1xakyoh/final-kommissorium-for-revisionsudvalget-18-december-2023-1.pdf" TargetMode="External"/><Relationship Id="rId2" Type="http://schemas.openxmlformats.org/officeDocument/2006/relationships/hyperlink" Target="https://www.al-bank.dk/handlers/documentarchive.ashx?id=255" TargetMode="External"/><Relationship Id="rId16" Type="http://schemas.openxmlformats.org/officeDocument/2006/relationships/drawing" Target="../drawings/drawing4.xml"/><Relationship Id="rId1" Type="http://schemas.openxmlformats.org/officeDocument/2006/relationships/hyperlink" Target="https://al-bank-prod.imgix.net/pivpo33g/politik-for-forebyggelse-af-hvidvask-terrorfinansiering-og-sanktionsbrud.pdf" TargetMode="External"/><Relationship Id="rId6" Type="http://schemas.openxmlformats.org/officeDocument/2006/relationships/hyperlink" Target="https://al-bank-prod.imgix.net/alnhey0i/politik-for-integration-af-baeredygtighedsrisici-09-13-3.pdf" TargetMode="External"/><Relationship Id="rId11" Type="http://schemas.openxmlformats.org/officeDocument/2006/relationships/hyperlink" Target="https://al-bank-prod.imgix.net/fube2fyt/final-kommissorium-for-nominerings-og-afloenningsudvalget-18-december-2023.pdf" TargetMode="External"/><Relationship Id="rId5" Type="http://schemas.openxmlformats.org/officeDocument/2006/relationships/hyperlink" Target="https://al-bank-prod.imgix.net/1o5lhy5q/skattepolitik-for-arbejdernes-landsbank-koncernen-2023.pdf" TargetMode="External"/><Relationship Id="rId15" Type="http://schemas.openxmlformats.org/officeDocument/2006/relationships/printerSettings" Target="../printerSettings/printerSettings15.bin"/><Relationship Id="rId10" Type="http://schemas.openxmlformats.org/officeDocument/2006/relationships/hyperlink" Target="https://al-bank-prod.imgix.net/m24kyzpv/final-kommissorium-for-esg-udvalget-18-december-2023.pdf" TargetMode="External"/><Relationship Id="rId4" Type="http://schemas.openxmlformats.org/officeDocument/2006/relationships/hyperlink" Target="https://www.al-bank.dk/handlers/documentarchive.ashx?id=240" TargetMode="External"/><Relationship Id="rId9" Type="http://schemas.openxmlformats.org/officeDocument/2006/relationships/hyperlink" Target="https://al-bank-prod.imgix.net/zk4htrjp/politik-for-diversitet-og-egnethed-i-bestyrelsen-i-aktieselskabet-arbejdernes-landsbank.pdf" TargetMode="External"/><Relationship Id="rId14" Type="http://schemas.openxmlformats.org/officeDocument/2006/relationships/hyperlink" Target="https://al-bank-prod.imgix.net/fcoosydy/final-rammer-for-det-raadgivende-repraesentantskab-18-december-2023.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F3F9F-B3DB-4AE1-B601-C7BD5A8BBBA4}">
  <dimension ref="A1:A42"/>
  <sheetViews>
    <sheetView showGridLines="0" tabSelected="1" zoomScaleNormal="100" workbookViewId="0">
      <selection activeCell="A19" sqref="A19"/>
    </sheetView>
  </sheetViews>
  <sheetFormatPr defaultColWidth="0" defaultRowHeight="15" zeroHeight="1" x14ac:dyDescent="0.25"/>
  <cols>
    <col min="1" max="1" width="135" customWidth="1"/>
    <col min="2" max="16384" width="9.140625" hidden="1"/>
  </cols>
  <sheetData>
    <row r="1" spans="1:1" ht="78.75" customHeight="1" x14ac:dyDescent="0.25">
      <c r="A1" s="27" t="s">
        <v>0</v>
      </c>
    </row>
    <row r="2" spans="1:1" ht="94.5" customHeight="1" x14ac:dyDescent="0.25">
      <c r="A2" s="236" t="s">
        <v>1</v>
      </c>
    </row>
    <row r="3" spans="1:1" ht="18" thickBot="1" x14ac:dyDescent="0.35">
      <c r="A3" s="8" t="s">
        <v>2</v>
      </c>
    </row>
    <row r="4" spans="1:1" x14ac:dyDescent="0.25">
      <c r="A4" s="381"/>
    </row>
    <row r="5" spans="1:1" x14ac:dyDescent="0.25">
      <c r="A5" s="1411" t="s">
        <v>3</v>
      </c>
    </row>
    <row r="6" spans="1:1" x14ac:dyDescent="0.25"/>
    <row r="7" spans="1:1" x14ac:dyDescent="0.25">
      <c r="A7" s="1412" t="s">
        <v>4</v>
      </c>
    </row>
    <row r="8" spans="1:1" x14ac:dyDescent="0.25">
      <c r="A8" s="31"/>
    </row>
    <row r="9" spans="1:1" x14ac:dyDescent="0.25">
      <c r="A9" s="5" t="s">
        <v>5</v>
      </c>
    </row>
    <row r="10" spans="1:1" x14ac:dyDescent="0.25">
      <c r="A10" s="1407" t="s">
        <v>6</v>
      </c>
    </row>
    <row r="11" spans="1:1" x14ac:dyDescent="0.25">
      <c r="A11" s="1407" t="s">
        <v>7</v>
      </c>
    </row>
    <row r="12" spans="1:1" x14ac:dyDescent="0.25">
      <c r="A12" s="1407" t="s">
        <v>8</v>
      </c>
    </row>
    <row r="13" spans="1:1" x14ac:dyDescent="0.25">
      <c r="A13" s="1407" t="s">
        <v>9</v>
      </c>
    </row>
    <row r="14" spans="1:1" x14ac:dyDescent="0.25">
      <c r="A14" s="10"/>
    </row>
    <row r="15" spans="1:1" x14ac:dyDescent="0.25">
      <c r="A15" s="7" t="s">
        <v>10</v>
      </c>
    </row>
    <row r="16" spans="1:1" x14ac:dyDescent="0.25">
      <c r="A16" s="1408" t="s">
        <v>11</v>
      </c>
    </row>
    <row r="17" spans="1:1" x14ac:dyDescent="0.25">
      <c r="A17" s="1408" t="s">
        <v>12</v>
      </c>
    </row>
    <row r="18" spans="1:1" x14ac:dyDescent="0.25">
      <c r="A18" s="4"/>
    </row>
    <row r="19" spans="1:1" x14ac:dyDescent="0.25">
      <c r="A19" s="29" t="s">
        <v>13</v>
      </c>
    </row>
    <row r="20" spans="1:1" x14ac:dyDescent="0.25">
      <c r="A20" s="1408" t="s">
        <v>14</v>
      </c>
    </row>
    <row r="21" spans="1:1" x14ac:dyDescent="0.25">
      <c r="A21" s="1409" t="s">
        <v>15</v>
      </c>
    </row>
    <row r="22" spans="1:1" x14ac:dyDescent="0.25">
      <c r="A22" s="2"/>
    </row>
    <row r="23" spans="1:1" x14ac:dyDescent="0.25">
      <c r="A23" s="6" t="s">
        <v>16</v>
      </c>
    </row>
    <row r="24" spans="1:1" x14ac:dyDescent="0.25">
      <c r="A24" s="1410" t="s">
        <v>16</v>
      </c>
    </row>
    <row r="25" spans="1:1" x14ac:dyDescent="0.25">
      <c r="A25" s="33"/>
    </row>
    <row r="26" spans="1:1" x14ac:dyDescent="0.25">
      <c r="A26" s="34" t="s">
        <v>17</v>
      </c>
    </row>
    <row r="27" spans="1:1" x14ac:dyDescent="0.25">
      <c r="A27" s="1408" t="s">
        <v>18</v>
      </c>
    </row>
    <row r="28" spans="1:1" x14ac:dyDescent="0.25">
      <c r="A28" s="1407" t="s">
        <v>19</v>
      </c>
    </row>
    <row r="29" spans="1:1" x14ac:dyDescent="0.25">
      <c r="A29" s="4"/>
    </row>
    <row r="30" spans="1:1" x14ac:dyDescent="0.25">
      <c r="A30" s="1413" t="s">
        <v>20</v>
      </c>
    </row>
    <row r="31" spans="1:1" ht="36" customHeight="1" x14ac:dyDescent="0.25">
      <c r="A31" s="1413"/>
    </row>
    <row r="32" spans="1:1" x14ac:dyDescent="0.25">
      <c r="A32" s="1413"/>
    </row>
    <row r="33" spans="1:1" ht="24.75" customHeight="1" x14ac:dyDescent="0.25">
      <c r="A33" s="1413"/>
    </row>
    <row r="34" spans="1:1" x14ac:dyDescent="0.25">
      <c r="A34" s="1413"/>
    </row>
    <row r="35" spans="1:1" ht="24.75" customHeight="1" x14ac:dyDescent="0.25">
      <c r="A35" s="1413"/>
    </row>
    <row r="36" spans="1:1" x14ac:dyDescent="0.25">
      <c r="A36" s="1413"/>
    </row>
    <row r="37" spans="1:1" ht="22.5" customHeight="1" x14ac:dyDescent="0.25">
      <c r="A37" s="1413"/>
    </row>
    <row r="38" spans="1:1" x14ac:dyDescent="0.25"/>
    <row r="39" spans="1:1" ht="12.75" hidden="1" customHeight="1" x14ac:dyDescent="0.25"/>
    <row r="40" spans="1:1" ht="54.75" hidden="1" customHeight="1" x14ac:dyDescent="0.25"/>
    <row r="41" spans="1:1" ht="15" hidden="1" customHeight="1" x14ac:dyDescent="0.25"/>
    <row r="42" spans="1:1" x14ac:dyDescent="0.25"/>
  </sheetData>
  <sheetProtection algorithmName="SHA-512" hashValue="Azl24hhezzPyNfHTqM0NlYD6OdpBEi1J9CQBvxhPRDZMAPSM4mhe3AN3CmmBorjMgv0Bs65QuxQVYbW0NMOkmw==" saltValue="XG+j1TfUIXNAnmg5li95Ig==" spinCount="100000" sheet="1" objects="1" scenarios="1"/>
  <mergeCells count="1">
    <mergeCell ref="A30:A37"/>
  </mergeCells>
  <hyperlinks>
    <hyperlink ref="A10" location="'Housing loans'!A1" display="Housing loans" xr:uid="{44462656-EC5B-4285-A623-DDE0D65C58C4}"/>
    <hyperlink ref="A11" location="'Car loans and leasing'!A1" display="Car loans and leasing" xr:uid="{98466E16-9771-4BBD-A3E0-929C6C74A3F0}"/>
    <hyperlink ref="A12" location="'Investments for customers'!A1" display="Investments on behalf of customers" xr:uid="{20C7B14D-40B2-4F55-A57E-09C6C0A15ED1}"/>
    <hyperlink ref="A13" location="'Investments in own portfolio'!A1" display="Investments in own portfolio" xr:uid="{EF1E83C6-EF6A-42E7-B976-9657CE93695B}"/>
    <hyperlink ref="A20" location="Customers!A1" display="Customers" xr:uid="{782ED922-B435-4E30-BD5D-6AB40DA1C184}"/>
    <hyperlink ref="A21" location="Employees!A1" display="Employees" xr:uid="{F68942DA-228C-4490-9F21-61767E051B28}"/>
    <hyperlink ref="A24" location="'Governance and management'!A1" display="Governance and management" xr:uid="{567FF593-B524-4120-BFAC-5FC2EFD47EAD}"/>
    <hyperlink ref="A16" location="'Climate accounts'!A1" display="Climate accounts" xr:uid="{C9DB988B-BB2F-42F6-BE32-1DAF05726893}"/>
    <hyperlink ref="A17" location="'Environmental accounts'!A1" display="Environmental accounts" xr:uid="{49007DB0-174E-4DF5-8031-08AE01E3A68D}"/>
    <hyperlink ref="A28" location="'Reporting principles'!A1" display="Reporting principles" xr:uid="{EF5A0C49-7B5D-4516-9967-9D5D3F32F269}"/>
    <hyperlink ref="A27" location="'Policies and practices'!A1" display="Policies and practices" xr:uid="{F1CE055D-5AB1-42E2-AE04-83867D1293AE}"/>
    <hyperlink ref="A7" location="'UN impact analysis'!A1" display="UN impact analysis" xr:uid="{18C24427-AD00-45D4-AFA6-F1C93571C164}"/>
    <hyperlink ref="A5" location="'Overview of key figures'!A1" display="Overview of key figures" xr:uid="{B0EBAA53-4790-4FE7-87EA-79C353A3DEDE}"/>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77CDC-8E39-4D2E-96E5-CE889C9F3E8A}">
  <sheetPr>
    <tabColor rgb="FF7990A5"/>
  </sheetPr>
  <dimension ref="A1:F9"/>
  <sheetViews>
    <sheetView zoomScale="115" zoomScaleNormal="115" workbookViewId="0">
      <selection sqref="A1:F1"/>
    </sheetView>
  </sheetViews>
  <sheetFormatPr defaultColWidth="0" defaultRowHeight="15" zeroHeight="1" x14ac:dyDescent="0.25"/>
  <cols>
    <col min="1" max="1" width="48" customWidth="1"/>
    <col min="2" max="6" width="10.85546875" customWidth="1"/>
    <col min="7" max="16384" width="9.140625" hidden="1"/>
  </cols>
  <sheetData>
    <row r="1" spans="1:6" x14ac:dyDescent="0.25">
      <c r="A1" s="1516" t="s">
        <v>9</v>
      </c>
      <c r="B1" s="1517"/>
      <c r="C1" s="1517"/>
      <c r="D1" s="1517"/>
      <c r="E1" s="1517"/>
      <c r="F1" s="1517"/>
    </row>
    <row r="2" spans="1:6" x14ac:dyDescent="0.25">
      <c r="A2" s="865" t="s">
        <v>23</v>
      </c>
      <c r="B2" s="866" t="s">
        <v>22</v>
      </c>
      <c r="C2" s="867">
        <v>2023</v>
      </c>
      <c r="D2" s="867">
        <v>2022</v>
      </c>
      <c r="E2" s="867">
        <v>2021</v>
      </c>
      <c r="F2" s="868">
        <v>2020</v>
      </c>
    </row>
    <row r="3" spans="1:6" ht="39" customHeight="1" x14ac:dyDescent="0.25">
      <c r="A3" s="869" t="s">
        <v>297</v>
      </c>
      <c r="B3" s="870" t="s">
        <v>29</v>
      </c>
      <c r="C3" s="278">
        <v>19.2</v>
      </c>
      <c r="D3" s="871">
        <v>19.100000000000001</v>
      </c>
      <c r="E3" s="871">
        <v>24</v>
      </c>
      <c r="F3" s="876">
        <v>28</v>
      </c>
    </row>
    <row r="4" spans="1:6" ht="39" customHeight="1" x14ac:dyDescent="0.25">
      <c r="A4" s="559" t="s">
        <v>49</v>
      </c>
      <c r="B4" s="870" t="s">
        <v>31</v>
      </c>
      <c r="C4" s="278">
        <v>894</v>
      </c>
      <c r="D4" s="278">
        <v>694</v>
      </c>
      <c r="E4" s="278">
        <v>413</v>
      </c>
      <c r="F4" s="607">
        <v>315</v>
      </c>
    </row>
    <row r="5" spans="1:6" ht="39" customHeight="1" x14ac:dyDescent="0.25">
      <c r="A5" s="872" t="s">
        <v>50</v>
      </c>
      <c r="B5" s="875" t="s">
        <v>41</v>
      </c>
      <c r="C5" s="1406">
        <f>C4/(C3*1000)*100</f>
        <v>4.65625</v>
      </c>
      <c r="D5" s="1406">
        <f>D4/(D3*1000)*100</f>
        <v>3.6335078534031418</v>
      </c>
      <c r="E5" s="1406">
        <f>E4/(E3*1000)*100</f>
        <v>1.7208333333333332</v>
      </c>
      <c r="F5" s="1406">
        <f>F4/(F3*1000)*100</f>
        <v>1.125</v>
      </c>
    </row>
    <row r="6" spans="1:6" x14ac:dyDescent="0.25">
      <c r="A6" s="865" t="s">
        <v>24</v>
      </c>
      <c r="B6" s="866" t="s">
        <v>22</v>
      </c>
      <c r="C6" s="867">
        <v>2023</v>
      </c>
      <c r="D6" s="867">
        <v>2022</v>
      </c>
      <c r="E6" s="867">
        <v>2021</v>
      </c>
      <c r="F6" s="868">
        <v>2020</v>
      </c>
    </row>
    <row r="7" spans="1:6" ht="39" customHeight="1" x14ac:dyDescent="0.25">
      <c r="A7" s="869" t="s">
        <v>297</v>
      </c>
      <c r="B7" s="874" t="s">
        <v>29</v>
      </c>
      <c r="C7" s="871">
        <v>11.3</v>
      </c>
      <c r="D7" s="871">
        <v>9.9</v>
      </c>
      <c r="E7" s="871"/>
      <c r="F7" s="876"/>
    </row>
    <row r="8" spans="1:6" ht="39" customHeight="1" x14ac:dyDescent="0.25">
      <c r="A8" s="559" t="s">
        <v>49</v>
      </c>
      <c r="B8" s="870" t="s">
        <v>31</v>
      </c>
      <c r="C8" s="278">
        <v>0</v>
      </c>
      <c r="D8" s="278">
        <v>0</v>
      </c>
      <c r="E8" s="278"/>
      <c r="F8" s="607"/>
    </row>
    <row r="9" spans="1:6" ht="39" customHeight="1" x14ac:dyDescent="0.25">
      <c r="A9" s="872" t="s">
        <v>50</v>
      </c>
      <c r="B9" s="875" t="s">
        <v>41</v>
      </c>
      <c r="C9" s="1210">
        <f>C8/(C7*1000)</f>
        <v>0</v>
      </c>
      <c r="D9" s="1210">
        <f>D8/(D7*1000)</f>
        <v>0</v>
      </c>
      <c r="E9" s="873"/>
      <c r="F9" s="877"/>
    </row>
  </sheetData>
  <sheetProtection algorithmName="SHA-512" hashValue="iWsc2Yid9b6EiJ2XtmucEfzkKWGb62GjPx7CCRU74Ru695Lgl6rxubelUQwq5YYmEcoV+TmYR+Ir3cG2tyHEvg==" saltValue="ONo3Pl8K3lr7KDy6fZH2wQ==" spinCount="100000" sheet="1" objects="1" scenarios="1"/>
  <mergeCells count="1">
    <mergeCell ref="A1:F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BE04B-324C-4EDE-A5A6-604BDF9A8B5D}">
  <sheetPr>
    <tabColor rgb="FFA5BEB9"/>
  </sheetPr>
  <dimension ref="A1:AI409"/>
  <sheetViews>
    <sheetView showGridLines="0" topLeftCell="A362" zoomScaleNormal="100" workbookViewId="0">
      <selection activeCell="A310" sqref="A310:J310"/>
    </sheetView>
  </sheetViews>
  <sheetFormatPr defaultColWidth="0" defaultRowHeight="15" zeroHeight="1" x14ac:dyDescent="0.25"/>
  <cols>
    <col min="1" max="1" width="41.28515625" style="710" customWidth="1"/>
    <col min="2" max="2" width="37.42578125" style="710" customWidth="1"/>
    <col min="3" max="3" width="19.5703125" style="710" customWidth="1"/>
    <col min="4" max="4" width="17.5703125" style="710" customWidth="1"/>
    <col min="5" max="5" width="17.85546875" style="710" customWidth="1"/>
    <col min="6" max="6" width="16.28515625" style="710" customWidth="1"/>
    <col min="7" max="7" width="16" style="710" customWidth="1"/>
    <col min="8" max="8" width="22.140625" style="710" customWidth="1"/>
    <col min="9" max="9" width="19.85546875" style="710" customWidth="1"/>
    <col min="10" max="10" width="21" style="710" customWidth="1"/>
    <col min="11" max="11" width="15" style="710" customWidth="1"/>
    <col min="12" max="12" width="15.42578125" style="710" customWidth="1"/>
    <col min="13" max="13" width="27.28515625" style="710" customWidth="1"/>
    <col min="14" max="15" width="20.28515625" style="710" customWidth="1"/>
    <col min="16" max="16" width="12" style="710" customWidth="1"/>
    <col min="17" max="17" width="30.140625" style="710" customWidth="1"/>
    <col min="18" max="18" width="9.140625" style="710" customWidth="1"/>
    <col min="19" max="19" width="22.42578125" style="710" bestFit="1" customWidth="1"/>
    <col min="20" max="20" width="13.42578125" style="710" customWidth="1"/>
    <col min="21" max="21" width="13.85546875" style="710" bestFit="1" customWidth="1"/>
    <col min="22" max="22" width="14.7109375" style="710" bestFit="1" customWidth="1"/>
    <col min="23" max="24" width="14.7109375" style="710" customWidth="1"/>
    <col min="25" max="25" width="9.140625" style="710" customWidth="1"/>
    <col min="26" max="26" width="22.5703125" style="710" customWidth="1"/>
    <col min="27" max="27" width="9.140625" style="710" customWidth="1"/>
    <col min="28" max="28" width="13.42578125" style="710" customWidth="1"/>
    <col min="29" max="31" width="14.85546875" style="710" customWidth="1"/>
    <col min="32" max="32" width="9.140625" style="710" customWidth="1"/>
    <col min="33" max="35" width="9.140625" style="710" hidden="1" customWidth="1"/>
    <col min="36" max="16384" width="0" style="710" hidden="1"/>
  </cols>
  <sheetData>
    <row r="1" spans="1:8" ht="39.75" customHeight="1" x14ac:dyDescent="0.25">
      <c r="A1" s="1540" t="s">
        <v>298</v>
      </c>
      <c r="B1" s="1540"/>
      <c r="C1" s="1540"/>
      <c r="D1" s="1540"/>
      <c r="E1" s="1540"/>
      <c r="F1" s="1540"/>
      <c r="G1" s="184"/>
      <c r="H1" s="184"/>
    </row>
    <row r="2" spans="1:8" ht="232.5" customHeight="1" x14ac:dyDescent="0.25">
      <c r="A2" s="1541" t="s">
        <v>299</v>
      </c>
      <c r="B2" s="1541"/>
      <c r="C2" s="1541"/>
      <c r="D2" s="1541"/>
      <c r="E2" s="1541"/>
      <c r="F2" s="1541"/>
      <c r="G2" s="103"/>
      <c r="H2" s="103"/>
    </row>
    <row r="3" spans="1:8" ht="35.1" customHeight="1" x14ac:dyDescent="0.25">
      <c r="A3" s="460" t="s">
        <v>300</v>
      </c>
      <c r="B3" s="460"/>
      <c r="C3" s="460"/>
      <c r="D3" s="462"/>
      <c r="E3"/>
      <c r="F3" s="103"/>
      <c r="G3" s="103"/>
      <c r="H3" s="103"/>
    </row>
    <row r="4" spans="1:8" ht="24" x14ac:dyDescent="0.25">
      <c r="A4" s="977" t="s">
        <v>301</v>
      </c>
      <c r="B4" s="1396" t="s">
        <v>302</v>
      </c>
      <c r="C4" s="1396" t="s">
        <v>303</v>
      </c>
      <c r="D4" s="463" t="s">
        <v>304</v>
      </c>
      <c r="E4" s="103"/>
      <c r="F4" s="103"/>
      <c r="G4" s="103"/>
    </row>
    <row r="5" spans="1:8" x14ac:dyDescent="0.25">
      <c r="A5" s="544" t="s">
        <v>305</v>
      </c>
      <c r="B5" s="519">
        <f>SUM(B6:B7)</f>
        <v>173.49470600000001</v>
      </c>
      <c r="C5" s="519">
        <f>SUM(C6:C7)</f>
        <v>130.97999999999999</v>
      </c>
      <c r="D5" s="561">
        <f>C5/$C$20</f>
        <v>2.5576515484643085E-4</v>
      </c>
      <c r="F5" s="103"/>
      <c r="G5" s="103"/>
    </row>
    <row r="6" spans="1:8" x14ac:dyDescent="0.25">
      <c r="A6" s="978" t="s">
        <v>306</v>
      </c>
      <c r="B6" s="461">
        <f>C316</f>
        <v>173.49470600000001</v>
      </c>
      <c r="C6" s="461">
        <v>130.97999999999999</v>
      </c>
      <c r="D6" s="464"/>
      <c r="F6" s="103"/>
      <c r="G6" s="103"/>
    </row>
    <row r="7" spans="1:8" x14ac:dyDescent="0.25">
      <c r="A7" s="978" t="s">
        <v>307</v>
      </c>
      <c r="B7" s="461">
        <f>C317</f>
        <v>0</v>
      </c>
      <c r="C7" s="461">
        <v>0</v>
      </c>
      <c r="D7" s="464"/>
      <c r="F7" s="103"/>
      <c r="G7" s="103"/>
    </row>
    <row r="8" spans="1:8" x14ac:dyDescent="0.25">
      <c r="A8" s="980" t="s">
        <v>308</v>
      </c>
      <c r="B8" s="519">
        <f>SUM(B9:B10)</f>
        <v>563.18479883199996</v>
      </c>
      <c r="C8" s="519">
        <f>SUM(C9:C10)</f>
        <v>593.39</v>
      </c>
      <c r="D8" s="561">
        <f>C8/$C$19</f>
        <v>1.1598907251636138E-3</v>
      </c>
      <c r="F8" s="103"/>
      <c r="G8" s="103"/>
    </row>
    <row r="9" spans="1:8" x14ac:dyDescent="0.25">
      <c r="A9" s="978" t="s">
        <v>54</v>
      </c>
      <c r="B9" s="461">
        <f>C319</f>
        <v>180.15372967199997</v>
      </c>
      <c r="C9" s="708">
        <v>213.04</v>
      </c>
      <c r="D9" s="464"/>
      <c r="E9" s="1209"/>
      <c r="F9" s="103"/>
      <c r="G9" s="103"/>
    </row>
    <row r="10" spans="1:8" x14ac:dyDescent="0.25">
      <c r="A10" s="978" t="s">
        <v>309</v>
      </c>
      <c r="B10" s="461">
        <f>C320</f>
        <v>383.03106916000002</v>
      </c>
      <c r="C10" s="461">
        <v>380.35</v>
      </c>
      <c r="D10" s="464"/>
      <c r="F10" s="103"/>
      <c r="G10" s="103"/>
    </row>
    <row r="11" spans="1:8" x14ac:dyDescent="0.25">
      <c r="A11" s="980" t="s">
        <v>310</v>
      </c>
      <c r="B11" s="519">
        <f>SUM(B12:B13)</f>
        <v>945.30479883199996</v>
      </c>
      <c r="C11" s="519">
        <f>SUM(C12:C13)</f>
        <v>1112.51</v>
      </c>
      <c r="D11" s="561">
        <f>C11/$C$20</f>
        <v>2.1724025990090307E-3</v>
      </c>
      <c r="F11" s="103"/>
      <c r="G11" s="103"/>
    </row>
    <row r="12" spans="1:8" x14ac:dyDescent="0.25">
      <c r="A12" s="978" t="s">
        <v>54</v>
      </c>
      <c r="B12" s="461">
        <f>C322</f>
        <v>562.27372967199994</v>
      </c>
      <c r="C12" s="461">
        <v>732.16</v>
      </c>
      <c r="D12" s="464"/>
    </row>
    <row r="13" spans="1:8" x14ac:dyDescent="0.25">
      <c r="A13" s="978" t="s">
        <v>309</v>
      </c>
      <c r="B13" s="461">
        <f>C323</f>
        <v>383.03106916000002</v>
      </c>
      <c r="C13" s="461">
        <v>380.35</v>
      </c>
      <c r="D13" s="464"/>
    </row>
    <row r="14" spans="1:8" x14ac:dyDescent="0.25">
      <c r="A14" s="544" t="s">
        <v>311</v>
      </c>
      <c r="B14" s="520">
        <f>SUM(B15:B18)</f>
        <v>544806.97704170959</v>
      </c>
      <c r="C14" s="520">
        <f>SUM(C15:C18)</f>
        <v>510866.92659933836</v>
      </c>
      <c r="D14" s="561">
        <f>C14/$C$20</f>
        <v>0.99757183224614454</v>
      </c>
    </row>
    <row r="15" spans="1:8" x14ac:dyDescent="0.25">
      <c r="A15" s="979" t="s">
        <v>312</v>
      </c>
      <c r="B15" s="461">
        <f>SUM(C326:C332)</f>
        <v>12176.67</v>
      </c>
      <c r="C15" s="708">
        <f>SUM(D326:D332)</f>
        <v>15977.38</v>
      </c>
      <c r="D15" s="514"/>
    </row>
    <row r="16" spans="1:8" x14ac:dyDescent="0.25">
      <c r="A16" s="978" t="s">
        <v>313</v>
      </c>
      <c r="B16" s="461">
        <f>C333</f>
        <v>97.16</v>
      </c>
      <c r="C16" s="461">
        <f>D333</f>
        <v>20.810000000000002</v>
      </c>
      <c r="D16" s="515"/>
    </row>
    <row r="17" spans="1:10" x14ac:dyDescent="0.25">
      <c r="A17" s="978" t="s">
        <v>314</v>
      </c>
      <c r="B17" s="461">
        <f>SUM(C334:C335)</f>
        <v>267.76950800000003</v>
      </c>
      <c r="C17" s="461">
        <f>SUM(D334:D335)</f>
        <v>197.61</v>
      </c>
      <c r="D17" s="515"/>
    </row>
    <row r="18" spans="1:10" x14ac:dyDescent="0.25">
      <c r="A18" s="978" t="s">
        <v>315</v>
      </c>
      <c r="B18" s="708">
        <f>C42</f>
        <v>532265.37753370963</v>
      </c>
      <c r="C18" s="708">
        <f>H42</f>
        <v>494671.12659933837</v>
      </c>
      <c r="D18" s="514"/>
    </row>
    <row r="19" spans="1:10" x14ac:dyDescent="0.25">
      <c r="A19" s="544" t="s">
        <v>316</v>
      </c>
      <c r="B19" s="520">
        <f>B5+B8+B14</f>
        <v>545543.65654654161</v>
      </c>
      <c r="C19" s="520">
        <f>C5+C8+C14</f>
        <v>511591.29659933836</v>
      </c>
      <c r="D19" s="562">
        <f>C19/$C$19</f>
        <v>1</v>
      </c>
    </row>
    <row r="20" spans="1:10" x14ac:dyDescent="0.25">
      <c r="A20" s="544" t="s">
        <v>317</v>
      </c>
      <c r="B20" s="520">
        <f>B5+B11+B14</f>
        <v>545925.7765465416</v>
      </c>
      <c r="C20" s="520">
        <f>C5+C11+C14</f>
        <v>512110.41659933835</v>
      </c>
      <c r="D20" s="744">
        <f>D5+D11+D14</f>
        <v>1</v>
      </c>
    </row>
    <row r="21" spans="1:10" x14ac:dyDescent="0.25">
      <c r="A21" s="103"/>
      <c r="B21" s="103"/>
      <c r="C21" s="103"/>
      <c r="D21" s="103"/>
      <c r="E21" s="103"/>
      <c r="F21" s="103"/>
      <c r="G21" s="103"/>
      <c r="H21" s="103"/>
    </row>
    <row r="22" spans="1:10" x14ac:dyDescent="0.25">
      <c r="A22" s="103"/>
      <c r="B22" s="103"/>
      <c r="C22" s="103"/>
      <c r="D22" s="103"/>
      <c r="E22" s="103"/>
      <c r="F22" s="103"/>
      <c r="G22" s="103"/>
      <c r="H22" s="103"/>
    </row>
    <row r="23" spans="1:10" x14ac:dyDescent="0.25">
      <c r="A23" s="1551" t="s">
        <v>318</v>
      </c>
      <c r="B23" s="1552"/>
      <c r="C23" s="1552"/>
      <c r="D23" s="1552"/>
      <c r="E23" s="1553"/>
      <c r="F23" s="103"/>
      <c r="G23" s="103"/>
      <c r="H23" s="103"/>
      <c r="I23" s="103"/>
      <c r="J23" s="103"/>
    </row>
    <row r="24" spans="1:10" x14ac:dyDescent="0.25">
      <c r="A24" s="518" t="s">
        <v>319</v>
      </c>
      <c r="B24" s="1549">
        <v>2023</v>
      </c>
      <c r="C24" s="1550"/>
      <c r="D24" s="1549">
        <v>2022</v>
      </c>
      <c r="E24" s="1550"/>
      <c r="F24" s="103"/>
      <c r="G24" s="103"/>
      <c r="H24" s="103"/>
      <c r="I24" s="103"/>
      <c r="J24" s="103"/>
    </row>
    <row r="25" spans="1:10" ht="36" x14ac:dyDescent="0.25">
      <c r="A25" s="518"/>
      <c r="B25" s="1370" t="s">
        <v>320</v>
      </c>
      <c r="C25" s="1370" t="s">
        <v>321</v>
      </c>
      <c r="D25" s="1370" t="s">
        <v>320</v>
      </c>
      <c r="E25" s="1371" t="s">
        <v>321</v>
      </c>
      <c r="F25" s="103"/>
      <c r="G25" s="103"/>
      <c r="H25" s="103"/>
      <c r="I25" s="103"/>
      <c r="J25" s="103"/>
    </row>
    <row r="26" spans="1:10" x14ac:dyDescent="0.25">
      <c r="A26" s="544" t="s">
        <v>322</v>
      </c>
      <c r="B26" s="1372">
        <f>C43</f>
        <v>210452.7405337097</v>
      </c>
      <c r="C26" s="981">
        <f>D43</f>
        <v>4.6685876756834048</v>
      </c>
      <c r="D26" s="1374">
        <f>H43</f>
        <v>216768.12659933837</v>
      </c>
      <c r="E26" s="982">
        <f>I43</f>
        <v>5.2284885799541296</v>
      </c>
      <c r="F26" s="103"/>
      <c r="G26" s="1386"/>
      <c r="H26" s="709"/>
      <c r="I26" s="103"/>
      <c r="J26" s="103"/>
    </row>
    <row r="27" spans="1:10" x14ac:dyDescent="0.25">
      <c r="A27" s="714" t="s">
        <v>323</v>
      </c>
      <c r="B27" s="809">
        <f>C44</f>
        <v>18960.297083312842</v>
      </c>
      <c r="C27" s="885">
        <f>D44</f>
        <v>1.0120039183266527</v>
      </c>
      <c r="D27" s="1375">
        <f>H44</f>
        <v>22236.826013137055</v>
      </c>
      <c r="E27" s="717">
        <f>I44</f>
        <v>1.2232856180434268</v>
      </c>
      <c r="F27" s="103"/>
      <c r="G27" s="1387"/>
      <c r="H27" s="103"/>
      <c r="I27" s="103"/>
      <c r="J27" s="103"/>
    </row>
    <row r="28" spans="1:10" x14ac:dyDescent="0.25">
      <c r="A28" s="715" t="s">
        <v>7</v>
      </c>
      <c r="B28" s="1373">
        <f>C47</f>
        <v>53246.440597971545</v>
      </c>
      <c r="C28" s="886">
        <f>D47</f>
        <v>9.6492309495679809</v>
      </c>
      <c r="D28" s="1376">
        <f>H47</f>
        <v>60064.672477352637</v>
      </c>
      <c r="E28" s="718">
        <f>I47</f>
        <v>11.375594604533795</v>
      </c>
      <c r="F28" s="103"/>
      <c r="G28" s="1386"/>
      <c r="H28" s="103"/>
      <c r="I28" s="103"/>
      <c r="J28" s="103"/>
    </row>
    <row r="29" spans="1:10" x14ac:dyDescent="0.25">
      <c r="A29" s="714" t="s">
        <v>324</v>
      </c>
      <c r="B29" s="809">
        <f>C51</f>
        <v>138246.00285242533</v>
      </c>
      <c r="C29" s="885">
        <f>D51</f>
        <v>6.6385097462620148</v>
      </c>
      <c r="D29" s="1375">
        <f>H51</f>
        <v>134466.62810884867</v>
      </c>
      <c r="E29" s="717">
        <f>I51</f>
        <v>7.4699714682454754</v>
      </c>
      <c r="F29" s="103"/>
      <c r="G29" s="103"/>
      <c r="H29" s="103"/>
      <c r="I29" s="103"/>
      <c r="J29" s="103"/>
    </row>
    <row r="30" spans="1:10" x14ac:dyDescent="0.25">
      <c r="A30" s="544" t="s">
        <v>325</v>
      </c>
      <c r="B30" s="1377">
        <f>C55</f>
        <v>321812.63699999999</v>
      </c>
      <c r="C30" s="983">
        <f>D55</f>
        <v>4.6970000000000001</v>
      </c>
      <c r="D30" s="1380">
        <f>H55</f>
        <v>277903</v>
      </c>
      <c r="E30" s="984">
        <f>I55</f>
        <v>5.24</v>
      </c>
      <c r="F30" s="103"/>
      <c r="G30" s="103"/>
      <c r="H30" s="103"/>
      <c r="I30" s="103"/>
      <c r="J30" s="103"/>
    </row>
    <row r="31" spans="1:10" x14ac:dyDescent="0.25">
      <c r="A31" s="716" t="s">
        <v>326</v>
      </c>
      <c r="B31" s="1378">
        <f>C56+C57</f>
        <v>97665.682000000001</v>
      </c>
      <c r="C31" s="887">
        <f>H216</f>
        <v>5.3150000000000004</v>
      </c>
      <c r="D31" s="1381">
        <f>H56+H57</f>
        <v>98629</v>
      </c>
      <c r="E31" s="719">
        <v>5.55</v>
      </c>
      <c r="F31" s="103"/>
      <c r="G31" s="1386"/>
      <c r="H31" s="103"/>
      <c r="I31" s="103"/>
      <c r="J31" s="103"/>
    </row>
    <row r="32" spans="1:10" x14ac:dyDescent="0.25">
      <c r="A32" s="715" t="s">
        <v>327</v>
      </c>
      <c r="B32" s="1373">
        <f>C58+C59</f>
        <v>108964.03899999999</v>
      </c>
      <c r="C32" s="886">
        <f>H206</f>
        <v>7.1479999999999997</v>
      </c>
      <c r="D32" s="1382">
        <f>H58+H59</f>
        <v>112969</v>
      </c>
      <c r="E32" s="718">
        <v>9.01</v>
      </c>
      <c r="F32" s="103"/>
      <c r="G32" s="103"/>
      <c r="H32" s="103"/>
      <c r="I32" s="103"/>
      <c r="J32" s="103"/>
    </row>
    <row r="33" spans="1:17" x14ac:dyDescent="0.25">
      <c r="A33" s="716" t="s">
        <v>47</v>
      </c>
      <c r="B33" s="1378">
        <f>C60+C61</f>
        <v>115182.916</v>
      </c>
      <c r="C33" s="887">
        <f>H196</f>
        <v>3.077</v>
      </c>
      <c r="D33" s="1381">
        <f>H60+H61</f>
        <v>66305</v>
      </c>
      <c r="E33" s="719">
        <v>2.91</v>
      </c>
      <c r="F33" s="103"/>
      <c r="G33" s="103"/>
      <c r="H33" s="103"/>
      <c r="I33" s="103"/>
    </row>
    <row r="34" spans="1:17" x14ac:dyDescent="0.25">
      <c r="A34" s="544" t="s">
        <v>328</v>
      </c>
      <c r="B34" s="1379">
        <f>C42</f>
        <v>532265.37753370963</v>
      </c>
      <c r="C34" s="983">
        <f>D42</f>
        <v>4.5034192569934968</v>
      </c>
      <c r="D34" s="1380">
        <f>H42</f>
        <v>494671.12659933837</v>
      </c>
      <c r="E34" s="984">
        <f>I42</f>
        <v>4.574538252531589</v>
      </c>
      <c r="F34" s="103"/>
      <c r="G34" s="103"/>
      <c r="H34" s="103"/>
      <c r="I34" s="103"/>
      <c r="J34" s="103"/>
    </row>
    <row r="35" spans="1:17" x14ac:dyDescent="0.25">
      <c r="A35" s="103"/>
      <c r="B35" s="103"/>
      <c r="C35" s="103"/>
      <c r="D35" s="103"/>
      <c r="E35" s="103"/>
      <c r="F35" s="103"/>
      <c r="G35" s="103"/>
      <c r="H35" s="103"/>
    </row>
    <row r="36" spans="1:17" x14ac:dyDescent="0.25">
      <c r="A36" s="103"/>
      <c r="B36" s="103"/>
      <c r="C36" s="103"/>
      <c r="D36" s="103"/>
      <c r="E36" s="103"/>
      <c r="F36" s="103"/>
      <c r="G36" s="103"/>
      <c r="H36" s="103"/>
    </row>
    <row r="37" spans="1:17" x14ac:dyDescent="0.25">
      <c r="A37" s="103"/>
      <c r="B37" s="103"/>
      <c r="C37" s="103"/>
      <c r="D37" s="103"/>
      <c r="E37" s="103"/>
      <c r="F37" s="103"/>
      <c r="G37" s="103"/>
      <c r="H37" s="103"/>
    </row>
    <row r="38" spans="1:17" x14ac:dyDescent="0.25">
      <c r="A38" s="1543" t="s">
        <v>329</v>
      </c>
      <c r="B38" s="1543"/>
      <c r="C38" s="1543"/>
      <c r="D38" s="1543"/>
      <c r="E38" s="1543"/>
      <c r="F38" s="1543"/>
      <c r="G38" s="1543"/>
      <c r="H38" s="1543"/>
      <c r="I38" s="1543"/>
      <c r="J38" s="1543"/>
      <c r="K38" s="1543"/>
    </row>
    <row r="39" spans="1:17" ht="21" customHeight="1" x14ac:dyDescent="0.25">
      <c r="A39" s="1543"/>
      <c r="B39" s="1543"/>
      <c r="C39" s="1543"/>
      <c r="D39" s="1543"/>
      <c r="E39" s="1543"/>
      <c r="F39" s="1543"/>
      <c r="G39" s="1543"/>
      <c r="H39" s="1543"/>
      <c r="I39" s="1543"/>
      <c r="J39" s="1543"/>
      <c r="K39" s="1543"/>
    </row>
    <row r="40" spans="1:17" ht="21" customHeight="1" x14ac:dyDescent="0.25">
      <c r="A40" s="705"/>
      <c r="B40" s="1544">
        <v>2023</v>
      </c>
      <c r="C40" s="1545"/>
      <c r="D40" s="1545"/>
      <c r="E40" s="1545"/>
      <c r="F40" s="1546"/>
      <c r="G40" s="1544">
        <v>2022</v>
      </c>
      <c r="H40" s="1545"/>
      <c r="I40" s="1545"/>
      <c r="J40" s="1545"/>
      <c r="K40" s="1546"/>
    </row>
    <row r="41" spans="1:17" ht="54.75" customHeight="1" x14ac:dyDescent="0.25">
      <c r="A41" s="985"/>
      <c r="B41" s="731" t="s">
        <v>330</v>
      </c>
      <c r="C41" s="732" t="s">
        <v>331</v>
      </c>
      <c r="D41" s="733" t="s">
        <v>332</v>
      </c>
      <c r="E41" s="734" t="s">
        <v>333</v>
      </c>
      <c r="F41" s="735" t="s">
        <v>334</v>
      </c>
      <c r="G41" s="731" t="s">
        <v>330</v>
      </c>
      <c r="H41" s="732" t="s">
        <v>335</v>
      </c>
      <c r="I41" s="733" t="s">
        <v>336</v>
      </c>
      <c r="J41" s="734" t="s">
        <v>333</v>
      </c>
      <c r="K41" s="735" t="s">
        <v>337</v>
      </c>
      <c r="L41" s="130"/>
      <c r="M41" s="130"/>
      <c r="N41" s="130"/>
      <c r="O41" s="130"/>
    </row>
    <row r="42" spans="1:17" ht="28.5" customHeight="1" x14ac:dyDescent="0.25">
      <c r="A42" s="736" t="s">
        <v>338</v>
      </c>
      <c r="B42" s="1368">
        <f>B43+B55</f>
        <v>118191.38906668272</v>
      </c>
      <c r="C42" s="1369">
        <f>C43+C55</f>
        <v>532265.37753370963</v>
      </c>
      <c r="D42" s="546">
        <f>C42/B42</f>
        <v>4.5034192569934968</v>
      </c>
      <c r="E42" s="737">
        <f>E43+E55</f>
        <v>1</v>
      </c>
      <c r="F42" s="738">
        <f>F43+F55</f>
        <v>1</v>
      </c>
      <c r="G42" s="739">
        <v>108135.7503843329</v>
      </c>
      <c r="H42" s="739">
        <v>494671.12659933837</v>
      </c>
      <c r="I42" s="725">
        <v>4.574538252531589</v>
      </c>
      <c r="J42" s="740">
        <v>1</v>
      </c>
      <c r="K42" s="741">
        <v>1</v>
      </c>
      <c r="L42" s="131"/>
    </row>
    <row r="43" spans="1:17" ht="18.75" customHeight="1" x14ac:dyDescent="0.25">
      <c r="A43" s="742" t="s">
        <v>339</v>
      </c>
      <c r="B43" s="547">
        <f>B44+B47+B51</f>
        <v>45078.459515682727</v>
      </c>
      <c r="C43" s="548">
        <f>C44+C47+C51</f>
        <v>210452.7405337097</v>
      </c>
      <c r="D43" s="548">
        <f>C43/B43</f>
        <v>4.6685876756834048</v>
      </c>
      <c r="E43" s="545">
        <f>B43/$B$42</f>
        <v>0.38140223134402618</v>
      </c>
      <c r="F43" s="545">
        <f>C43/$C$42</f>
        <v>0.3953906254599121</v>
      </c>
      <c r="G43" s="726">
        <v>41459.041802332889</v>
      </c>
      <c r="H43" s="727">
        <v>216768.12659933837</v>
      </c>
      <c r="I43" s="727">
        <v>5.2284885799541296</v>
      </c>
      <c r="J43" s="721">
        <v>0.38339810520554379</v>
      </c>
      <c r="K43" s="721">
        <v>0.43820654762999928</v>
      </c>
      <c r="L43" s="129"/>
    </row>
    <row r="44" spans="1:17" ht="30" customHeight="1" x14ac:dyDescent="0.25">
      <c r="A44" s="743" t="s">
        <v>323</v>
      </c>
      <c r="B44" s="549">
        <f>SUM(B45:B46)</f>
        <v>18735.398885276722</v>
      </c>
      <c r="C44" s="549">
        <f>SUM(C45:C46)</f>
        <v>18960.297083312842</v>
      </c>
      <c r="D44" s="549">
        <f>C44/B44</f>
        <v>1.0120039183266527</v>
      </c>
      <c r="E44" s="419">
        <f>B44/$B$42</f>
        <v>0.15851746081693266</v>
      </c>
      <c r="F44" s="419">
        <f>C44/$C$42</f>
        <v>3.5621886907554946E-2</v>
      </c>
      <c r="G44" s="728">
        <v>18177.950991284884</v>
      </c>
      <c r="H44" s="728">
        <v>22236.826013137055</v>
      </c>
      <c r="I44" s="728">
        <v>1.2232856180434268</v>
      </c>
      <c r="J44" s="722">
        <v>0.16810306421953281</v>
      </c>
      <c r="K44" s="722">
        <v>4.4952747022059154E-2</v>
      </c>
      <c r="L44" s="511"/>
    </row>
    <row r="45" spans="1:17" ht="17.25" customHeight="1" x14ac:dyDescent="0.25">
      <c r="A45" s="720" t="s">
        <v>340</v>
      </c>
      <c r="B45" s="550">
        <f>B69</f>
        <v>14676.07290172996</v>
      </c>
      <c r="C45" s="550">
        <f>G69</f>
        <v>14035.44771571841</v>
      </c>
      <c r="D45" s="550">
        <f t="shared" ref="D45:D49" si="0">C45/B45</f>
        <v>0.95634900492106201</v>
      </c>
      <c r="E45" s="432">
        <f>B45/$B$42</f>
        <v>0.12417209931807999</v>
      </c>
      <c r="F45" s="513">
        <f>C45/$C$42</f>
        <v>2.6369266738243767E-2</v>
      </c>
      <c r="G45" s="729">
        <v>14659.999286929999</v>
      </c>
      <c r="H45" s="729">
        <v>17376.210322989475</v>
      </c>
      <c r="I45" s="729">
        <v>1.1852804343913639</v>
      </c>
      <c r="J45" s="723">
        <v>0.13557032928357052</v>
      </c>
      <c r="K45" s="723">
        <v>3.5126793112918907E-2</v>
      </c>
      <c r="L45" s="511"/>
      <c r="M45" s="986"/>
      <c r="N45" s="986"/>
      <c r="O45" s="986"/>
      <c r="P45" s="987"/>
      <c r="Q45" s="988"/>
    </row>
    <row r="46" spans="1:17" ht="18.75" customHeight="1" x14ac:dyDescent="0.25">
      <c r="A46" s="720" t="s">
        <v>341</v>
      </c>
      <c r="B46" s="550">
        <f>B78</f>
        <v>4059.325983546762</v>
      </c>
      <c r="C46" s="550">
        <f>G78</f>
        <v>4924.8493675944319</v>
      </c>
      <c r="D46" s="550">
        <f>C46/B46</f>
        <v>1.2132184967543391</v>
      </c>
      <c r="E46" s="432">
        <f>B46/$B$42</f>
        <v>3.4345361498852679E-2</v>
      </c>
      <c r="F46" s="513">
        <f>C46/$C$42</f>
        <v>9.252620169311181E-3</v>
      </c>
      <c r="G46" s="729">
        <v>3517.9517043548863</v>
      </c>
      <c r="H46" s="729">
        <v>4860.6156901475806</v>
      </c>
      <c r="I46" s="729">
        <v>1.3816607215302601</v>
      </c>
      <c r="J46" s="723">
        <v>3.2532734935962301E-2</v>
      </c>
      <c r="K46" s="723">
        <v>9.825953909140251E-3</v>
      </c>
      <c r="L46" s="512"/>
      <c r="M46" s="986"/>
      <c r="N46" s="986"/>
      <c r="O46" s="986"/>
      <c r="P46" s="987"/>
      <c r="Q46" s="988"/>
    </row>
    <row r="47" spans="1:17" ht="18.75" customHeight="1" x14ac:dyDescent="0.25">
      <c r="A47" s="743" t="s">
        <v>342</v>
      </c>
      <c r="B47" s="549">
        <f>SUM(B48:B50)</f>
        <v>5518.2056348600008</v>
      </c>
      <c r="C47" s="549">
        <f>SUM(C48:C50)</f>
        <v>53246.440597971545</v>
      </c>
      <c r="D47" s="549">
        <f>C47/B47</f>
        <v>9.6492309495679809</v>
      </c>
      <c r="E47" s="419">
        <f t="shared" ref="E47:E54" si="1">B47/$B$42</f>
        <v>4.6688728158924248E-2</v>
      </c>
      <c r="F47" s="419">
        <f t="shared" ref="F47:F54" si="2">C47/$C$42</f>
        <v>0.10003739270942777</v>
      </c>
      <c r="G47" s="728">
        <v>5280.1347591460044</v>
      </c>
      <c r="H47" s="728">
        <v>60064.672477352637</v>
      </c>
      <c r="I47" s="728">
        <v>11.375594604533795</v>
      </c>
      <c r="J47" s="722">
        <v>4.8828761444568561E-2</v>
      </c>
      <c r="K47" s="722">
        <v>0.12142344529035419</v>
      </c>
      <c r="L47" s="512"/>
      <c r="M47" s="986"/>
      <c r="N47" s="986"/>
      <c r="O47" s="986"/>
      <c r="P47" s="987"/>
      <c r="Q47" s="988"/>
    </row>
    <row r="48" spans="1:17" ht="19.5" customHeight="1" x14ac:dyDescent="0.25">
      <c r="A48" s="720" t="s">
        <v>343</v>
      </c>
      <c r="B48" s="550">
        <f>B94</f>
        <v>47.858390189999987</v>
      </c>
      <c r="C48" s="550">
        <f>E94</f>
        <v>720.81783714852031</v>
      </c>
      <c r="D48" s="550">
        <f t="shared" si="0"/>
        <v>15.061472696570878</v>
      </c>
      <c r="E48" s="432">
        <f t="shared" si="1"/>
        <v>4.0492281686442175E-4</v>
      </c>
      <c r="F48" s="513">
        <f t="shared" si="2"/>
        <v>1.3542452084493682E-3</v>
      </c>
      <c r="G48" s="729">
        <v>46.887215980000008</v>
      </c>
      <c r="H48" s="729">
        <v>1078.9961602113765</v>
      </c>
      <c r="I48" s="729">
        <v>23.01258749659242</v>
      </c>
      <c r="J48" s="723">
        <v>4.3359588122665116E-4</v>
      </c>
      <c r="K48" s="723">
        <v>2.1812394178512776E-3</v>
      </c>
      <c r="L48" s="94"/>
      <c r="P48" s="987"/>
      <c r="Q48" s="988"/>
    </row>
    <row r="49" spans="1:17" ht="18" customHeight="1" x14ac:dyDescent="0.25">
      <c r="A49" s="720" t="s">
        <v>344</v>
      </c>
      <c r="B49" s="550">
        <f>B116</f>
        <v>4567.8</v>
      </c>
      <c r="C49" s="550">
        <f>E116</f>
        <v>41437.250000000007</v>
      </c>
      <c r="D49" s="550">
        <f t="shared" si="0"/>
        <v>9.0715990192215088</v>
      </c>
      <c r="E49" s="432">
        <f t="shared" si="1"/>
        <v>3.8647485540785724E-2</v>
      </c>
      <c r="F49" s="513">
        <f t="shared" si="2"/>
        <v>7.78507333916824E-2</v>
      </c>
      <c r="G49" s="729">
        <v>4475.8928145600039</v>
      </c>
      <c r="H49" s="729">
        <v>48141.211252711946</v>
      </c>
      <c r="I49" s="729">
        <v>10.755666689807539</v>
      </c>
      <c r="J49" s="723">
        <v>4.1391425117520496E-2</v>
      </c>
      <c r="K49" s="723">
        <v>9.7319630485941402E-2</v>
      </c>
      <c r="L49" s="132"/>
      <c r="P49" s="987"/>
      <c r="Q49" s="988"/>
    </row>
    <row r="50" spans="1:17" ht="18" customHeight="1" x14ac:dyDescent="0.25">
      <c r="A50" s="720" t="s">
        <v>345</v>
      </c>
      <c r="B50" s="550">
        <f>B105</f>
        <v>902.54724467000028</v>
      </c>
      <c r="C50" s="550">
        <f>E105</f>
        <v>11088.372760823018</v>
      </c>
      <c r="D50" s="550">
        <f>C50/B50</f>
        <v>12.285642470580337</v>
      </c>
      <c r="E50" s="432">
        <f t="shared" si="1"/>
        <v>7.6363198012740991E-3</v>
      </c>
      <c r="F50" s="513">
        <f t="shared" si="2"/>
        <v>2.0832414109296007E-2</v>
      </c>
      <c r="G50" s="729">
        <v>757.35472860599987</v>
      </c>
      <c r="H50" s="729">
        <v>10844.465064429312</v>
      </c>
      <c r="I50" s="729">
        <v>14.31887153380533</v>
      </c>
      <c r="J50" s="723">
        <v>7.0037404458214046E-3</v>
      </c>
      <c r="K50" s="723">
        <v>2.1922575386561519E-2</v>
      </c>
      <c r="L50" s="125"/>
      <c r="P50" s="987"/>
      <c r="Q50" s="988"/>
    </row>
    <row r="51" spans="1:17" ht="21" customHeight="1" x14ac:dyDescent="0.25">
      <c r="A51" s="743" t="s">
        <v>239</v>
      </c>
      <c r="B51" s="549">
        <f>B52+B53+B54</f>
        <v>20824.854995546</v>
      </c>
      <c r="C51" s="549">
        <f>C52+C53+C54</f>
        <v>138246.00285242533</v>
      </c>
      <c r="D51" s="549">
        <f>C51/B51</f>
        <v>6.6385097462620148</v>
      </c>
      <c r="E51" s="419">
        <f t="shared" si="1"/>
        <v>0.17619604236816921</v>
      </c>
      <c r="F51" s="419">
        <f t="shared" si="2"/>
        <v>0.2597313458429294</v>
      </c>
      <c r="G51" s="728">
        <v>18000.956051902001</v>
      </c>
      <c r="H51" s="728">
        <v>134466.62810884867</v>
      </c>
      <c r="I51" s="728">
        <v>7.4699714682454754</v>
      </c>
      <c r="J51" s="722">
        <v>0.16646627954144244</v>
      </c>
      <c r="K51" s="722">
        <v>0.27183035531758593</v>
      </c>
      <c r="L51" s="30"/>
      <c r="M51" s="711"/>
      <c r="N51" s="711"/>
      <c r="O51" s="711"/>
      <c r="P51" s="987"/>
      <c r="Q51" s="988"/>
    </row>
    <row r="52" spans="1:17" ht="18" customHeight="1" x14ac:dyDescent="0.25">
      <c r="A52" s="720" t="s">
        <v>346</v>
      </c>
      <c r="B52" s="550">
        <f>B146</f>
        <v>5029.6280109599993</v>
      </c>
      <c r="C52" s="550">
        <f>F146</f>
        <v>7238.9954515539321</v>
      </c>
      <c r="D52" s="550">
        <f>C52/B52</f>
        <v>1.4392705456108341</v>
      </c>
      <c r="E52" s="432">
        <f t="shared" si="1"/>
        <v>4.2554944574873556E-2</v>
      </c>
      <c r="F52" s="432">
        <f t="shared" si="2"/>
        <v>1.3600350045491113E-2</v>
      </c>
      <c r="G52" s="729">
        <v>4156.9702256200017</v>
      </c>
      <c r="H52" s="729">
        <v>7401.3472133727855</v>
      </c>
      <c r="I52" s="729">
        <v>1.780466736989653</v>
      </c>
      <c r="J52" s="723">
        <v>3.8442145274300316E-2</v>
      </c>
      <c r="K52" s="723">
        <v>1.4962157310967429E-2</v>
      </c>
      <c r="L52" s="30"/>
      <c r="M52" s="93"/>
      <c r="N52" s="93"/>
      <c r="O52" s="93"/>
    </row>
    <row r="53" spans="1:17" ht="18.75" customHeight="1" x14ac:dyDescent="0.25">
      <c r="A53" s="720" t="s">
        <v>347</v>
      </c>
      <c r="B53" s="550">
        <f>B168</f>
        <v>3430.76746267</v>
      </c>
      <c r="C53" s="550">
        <f>F168</f>
        <v>15856.658536131114</v>
      </c>
      <c r="D53" s="550">
        <f>C53/B53</f>
        <v>4.6218983678336061</v>
      </c>
      <c r="E53" s="432">
        <f t="shared" si="1"/>
        <v>2.9027220085672958E-2</v>
      </c>
      <c r="F53" s="432">
        <f t="shared" si="2"/>
        <v>2.9790888540607498E-2</v>
      </c>
      <c r="G53" s="729">
        <v>2882.44150988</v>
      </c>
      <c r="H53" s="729">
        <v>18595.465158118055</v>
      </c>
      <c r="I53" s="729">
        <v>6.4512896773028396</v>
      </c>
      <c r="J53" s="723">
        <v>2.6655768324863063E-2</v>
      </c>
      <c r="K53" s="723">
        <v>3.7591571770024805E-2</v>
      </c>
      <c r="L53" s="96"/>
      <c r="M53" s="93"/>
      <c r="N53" s="93"/>
      <c r="O53" s="93"/>
    </row>
    <row r="54" spans="1:17" ht="18.75" customHeight="1" x14ac:dyDescent="0.25">
      <c r="A54" s="720" t="s">
        <v>348</v>
      </c>
      <c r="B54" s="550">
        <f>B157</f>
        <v>12364.459521916</v>
      </c>
      <c r="C54" s="550">
        <f>F157</f>
        <v>115150.34886474028</v>
      </c>
      <c r="D54" s="550">
        <f>C54/B54</f>
        <v>9.3130111074112332</v>
      </c>
      <c r="E54" s="432">
        <f t="shared" si="1"/>
        <v>0.10461387770762269</v>
      </c>
      <c r="F54" s="432">
        <f t="shared" si="2"/>
        <v>0.21634010725683081</v>
      </c>
      <c r="G54" s="729">
        <v>10961.544316402</v>
      </c>
      <c r="H54" s="729">
        <v>108469.81573735783</v>
      </c>
      <c r="I54" s="729">
        <v>9.895486676549039</v>
      </c>
      <c r="J54" s="723">
        <v>0.10136836594227905</v>
      </c>
      <c r="K54" s="723">
        <v>0.21927662623659366</v>
      </c>
      <c r="L54" s="96"/>
      <c r="M54" s="93"/>
      <c r="N54" s="93"/>
      <c r="O54" s="93"/>
    </row>
    <row r="55" spans="1:17" ht="19.5" customHeight="1" x14ac:dyDescent="0.25">
      <c r="A55" s="743" t="s">
        <v>349</v>
      </c>
      <c r="B55" s="549">
        <f>SUM(B56:B61)</f>
        <v>73112.929550999994</v>
      </c>
      <c r="C55" s="549">
        <f>SUM(C56:C61)</f>
        <v>321812.63699999999</v>
      </c>
      <c r="D55" s="549">
        <f>+H186</f>
        <v>4.6970000000000001</v>
      </c>
      <c r="E55" s="419">
        <f>SUM(E56:E61)</f>
        <v>0.61859776865597382</v>
      </c>
      <c r="F55" s="419">
        <f>SUM(F56:F61)</f>
        <v>0.60460937454008801</v>
      </c>
      <c r="G55" s="728">
        <v>66676.708582000007</v>
      </c>
      <c r="H55" s="728">
        <v>277903</v>
      </c>
      <c r="I55" s="728">
        <v>5.24</v>
      </c>
      <c r="J55" s="722">
        <v>0.61660189479445615</v>
      </c>
      <c r="K55" s="722">
        <v>0.56179345237000078</v>
      </c>
      <c r="L55" s="126"/>
    </row>
    <row r="56" spans="1:17" ht="20.25" customHeight="1" x14ac:dyDescent="0.25">
      <c r="A56" s="720" t="s">
        <v>350</v>
      </c>
      <c r="B56" s="550">
        <f>C258/1000000</f>
        <v>17351.732647000001</v>
      </c>
      <c r="C56" s="550">
        <f>G258</f>
        <v>78742.226999999999</v>
      </c>
      <c r="D56" s="550">
        <f>H258</f>
        <v>5.0170000000000003</v>
      </c>
      <c r="E56" s="432">
        <f t="shared" ref="E56:E61" si="3">B56/$B$42</f>
        <v>0.14681046380807217</v>
      </c>
      <c r="F56" s="432">
        <f t="shared" ref="F56:F61" si="4">C56/$C$42</f>
        <v>0.14793790902736872</v>
      </c>
      <c r="G56" s="729">
        <v>18275.783195</v>
      </c>
      <c r="H56" s="729">
        <v>78611</v>
      </c>
      <c r="I56" s="729">
        <v>5.13</v>
      </c>
      <c r="J56" s="723">
        <v>0.16900778077596676</v>
      </c>
      <c r="K56" s="723">
        <v>0.15891568311338175</v>
      </c>
      <c r="L56" s="132"/>
      <c r="M56" s="132"/>
      <c r="N56" s="132"/>
      <c r="O56" s="132"/>
    </row>
    <row r="57" spans="1:17" ht="20.25" customHeight="1" x14ac:dyDescent="0.25">
      <c r="A57" s="720" t="s">
        <v>351</v>
      </c>
      <c r="B57" s="550">
        <f>+C300/1000000</f>
        <v>3532.0281719999998</v>
      </c>
      <c r="C57" s="550">
        <f>+G300</f>
        <v>18923.455000000002</v>
      </c>
      <c r="D57" s="550">
        <f>+H300</f>
        <v>6.9390000000000001</v>
      </c>
      <c r="E57" s="432">
        <f t="shared" si="3"/>
        <v>2.9883972088755595E-2</v>
      </c>
      <c r="F57" s="432">
        <f t="shared" si="4"/>
        <v>3.555266939901898E-2</v>
      </c>
      <c r="G57" s="729">
        <v>3082.4833180000001</v>
      </c>
      <c r="H57" s="729">
        <v>20018</v>
      </c>
      <c r="I57" s="729">
        <v>8.1</v>
      </c>
      <c r="J57" s="723">
        <v>2.850568204358252E-2</v>
      </c>
      <c r="K57" s="723">
        <v>4.0467290131962139E-2</v>
      </c>
      <c r="L57" s="132"/>
      <c r="M57" s="132"/>
      <c r="N57" s="132"/>
      <c r="O57" s="132"/>
    </row>
    <row r="58" spans="1:17" ht="18" customHeight="1" x14ac:dyDescent="0.25">
      <c r="A58" s="720" t="s">
        <v>352</v>
      </c>
      <c r="B58" s="550">
        <f>+C248/1000000</f>
        <v>8016.8885710000004</v>
      </c>
      <c r="C58" s="550">
        <f>+G248</f>
        <v>51718.292999999998</v>
      </c>
      <c r="D58" s="550">
        <f>+H248</f>
        <v>7.0830000000000002</v>
      </c>
      <c r="E58" s="432">
        <f t="shared" si="3"/>
        <v>6.7829717835678621E-2</v>
      </c>
      <c r="F58" s="432">
        <f t="shared" si="4"/>
        <v>9.7166366972130463E-2</v>
      </c>
      <c r="G58" s="729">
        <v>7813.0718079999997</v>
      </c>
      <c r="H58" s="729">
        <v>53348</v>
      </c>
      <c r="I58" s="729">
        <v>8.85</v>
      </c>
      <c r="J58" s="723">
        <v>7.225243992140444E-2</v>
      </c>
      <c r="K58" s="723">
        <v>0.10784538884803259</v>
      </c>
      <c r="L58" s="127"/>
      <c r="M58" s="100"/>
      <c r="N58" s="100"/>
      <c r="O58" s="100"/>
    </row>
    <row r="59" spans="1:17" ht="18" customHeight="1" x14ac:dyDescent="0.25">
      <c r="A59" s="720" t="s">
        <v>353</v>
      </c>
      <c r="B59" s="550">
        <f>+C290/1000000</f>
        <v>8827.0605130000004</v>
      </c>
      <c r="C59" s="550">
        <f>+G290</f>
        <v>57245.745999999999</v>
      </c>
      <c r="D59" s="550">
        <f>+H290</f>
        <v>7.2080000000000002</v>
      </c>
      <c r="E59" s="432">
        <f t="shared" si="3"/>
        <v>7.4684463755814195E-2</v>
      </c>
      <c r="F59" s="432">
        <f t="shared" si="4"/>
        <v>0.10755113598643656</v>
      </c>
      <c r="G59" s="729">
        <v>8522.3421500000004</v>
      </c>
      <c r="H59" s="729">
        <v>59621</v>
      </c>
      <c r="I59" s="729">
        <v>9.1</v>
      </c>
      <c r="J59" s="723">
        <v>7.8811513488463741E-2</v>
      </c>
      <c r="K59" s="723">
        <v>0.12052654136066114</v>
      </c>
      <c r="L59" s="127"/>
      <c r="M59" s="104"/>
      <c r="N59" s="104"/>
      <c r="O59" s="104"/>
    </row>
    <row r="60" spans="1:17" ht="18" customHeight="1" x14ac:dyDescent="0.25">
      <c r="A60" s="720" t="s">
        <v>354</v>
      </c>
      <c r="B60" s="550">
        <f>+C238/1000000</f>
        <v>22930.075839000001</v>
      </c>
      <c r="C60" s="550">
        <f>+G238</f>
        <v>71738.093999999997</v>
      </c>
      <c r="D60" s="550">
        <f>+H238</f>
        <v>3.0870000000000002</v>
      </c>
      <c r="E60" s="432">
        <f t="shared" si="3"/>
        <v>0.19400800701363294</v>
      </c>
      <c r="F60" s="432">
        <f t="shared" si="4"/>
        <v>0.13477880964642802</v>
      </c>
      <c r="G60" s="729">
        <v>19074.695284000001</v>
      </c>
      <c r="H60" s="729">
        <v>41951</v>
      </c>
      <c r="I60" s="729">
        <v>2.9</v>
      </c>
      <c r="J60" s="723">
        <v>0.17639582854148864</v>
      </c>
      <c r="K60" s="723">
        <v>8.4805839161052235E-2</v>
      </c>
      <c r="L60" s="127"/>
      <c r="M60" s="104"/>
      <c r="N60" s="104"/>
      <c r="O60" s="104"/>
    </row>
    <row r="61" spans="1:17" ht="19.5" customHeight="1" x14ac:dyDescent="0.25">
      <c r="A61" s="486" t="s">
        <v>355</v>
      </c>
      <c r="B61" s="552">
        <f>+C280/1000000</f>
        <v>12455.143808999999</v>
      </c>
      <c r="C61" s="552">
        <f>+G280</f>
        <v>43444.822</v>
      </c>
      <c r="D61" s="552">
        <f>+H280</f>
        <v>3.0609999999999999</v>
      </c>
      <c r="E61" s="553">
        <f t="shared" si="3"/>
        <v>0.10538114415402038</v>
      </c>
      <c r="F61" s="553">
        <f t="shared" si="4"/>
        <v>8.1622483508705268E-2</v>
      </c>
      <c r="G61" s="730">
        <v>9908.3328270000002</v>
      </c>
      <c r="H61" s="730">
        <v>24354</v>
      </c>
      <c r="I61" s="730">
        <v>2.9</v>
      </c>
      <c r="J61" s="724">
        <v>9.1628650023549987E-2</v>
      </c>
      <c r="K61" s="724">
        <v>4.9232709754910876E-2</v>
      </c>
      <c r="L61" s="127"/>
      <c r="M61" s="104"/>
      <c r="N61" s="104"/>
      <c r="O61" s="104"/>
    </row>
    <row r="62" spans="1:17" ht="14.45" customHeight="1" x14ac:dyDescent="0.25">
      <c r="B62" s="12"/>
      <c r="C62" s="989"/>
      <c r="D62" s="989"/>
      <c r="E62" s="12"/>
      <c r="F62" s="1542"/>
      <c r="G62" s="1542"/>
      <c r="H62" s="102"/>
      <c r="I62" s="990"/>
    </row>
    <row r="63" spans="1:17" ht="90" customHeight="1" x14ac:dyDescent="0.25">
      <c r="A63" s="1525" t="s">
        <v>356</v>
      </c>
      <c r="B63" s="1525"/>
      <c r="C63" s="1525"/>
      <c r="D63" s="1525"/>
      <c r="E63" s="1525"/>
      <c r="F63" s="1525"/>
      <c r="G63" s="28"/>
      <c r="H63" s="28"/>
      <c r="I63" s="990"/>
    </row>
    <row r="64" spans="1:17" ht="18" customHeight="1" x14ac:dyDescent="0.25"/>
    <row r="65" spans="1:15" x14ac:dyDescent="0.25">
      <c r="A65" s="1543" t="s">
        <v>357</v>
      </c>
      <c r="B65" s="1543"/>
      <c r="C65" s="1543"/>
      <c r="D65" s="1543"/>
      <c r="E65" s="1543"/>
      <c r="F65" s="1543"/>
      <c r="G65" s="1543"/>
      <c r="H65" s="1543"/>
      <c r="I65" s="1543"/>
      <c r="J65" s="23"/>
    </row>
    <row r="66" spans="1:15" x14ac:dyDescent="0.25">
      <c r="A66" s="1543"/>
      <c r="B66" s="1543"/>
      <c r="C66" s="1543"/>
      <c r="D66" s="1543"/>
      <c r="E66" s="1543"/>
      <c r="F66" s="1543"/>
      <c r="G66" s="1543"/>
      <c r="H66" s="1543"/>
      <c r="I66" s="1543"/>
      <c r="J66" s="23"/>
    </row>
    <row r="67" spans="1:15" ht="54" customHeight="1" x14ac:dyDescent="0.25">
      <c r="A67" s="19" t="s">
        <v>358</v>
      </c>
      <c r="B67" s="712" t="s">
        <v>330</v>
      </c>
      <c r="C67" s="81" t="s">
        <v>359</v>
      </c>
      <c r="D67" s="81" t="s">
        <v>360</v>
      </c>
      <c r="E67" s="89" t="s">
        <v>361</v>
      </c>
      <c r="F67" s="81" t="s">
        <v>362</v>
      </c>
      <c r="G67" s="105" t="s">
        <v>363</v>
      </c>
      <c r="H67" s="89" t="s">
        <v>364</v>
      </c>
      <c r="I67" s="89" t="s">
        <v>365</v>
      </c>
      <c r="K67" s="991"/>
      <c r="L67" s="991"/>
      <c r="M67" s="991"/>
      <c r="N67" s="991"/>
      <c r="O67" s="991"/>
    </row>
    <row r="68" spans="1:15" ht="21.75" customHeight="1" x14ac:dyDescent="0.25">
      <c r="A68" s="15" t="s">
        <v>366</v>
      </c>
      <c r="B68" s="82">
        <f>B69+B78</f>
        <v>18735.398885276722</v>
      </c>
      <c r="C68" s="122">
        <v>0</v>
      </c>
      <c r="D68" s="122">
        <v>1</v>
      </c>
      <c r="E68" s="82">
        <f>E69+E78</f>
        <v>69389.309442856436</v>
      </c>
      <c r="F68" s="233">
        <f>F69+F78</f>
        <v>8.710685280700762</v>
      </c>
      <c r="G68" s="112">
        <f>G69+G78</f>
        <v>18960.297083312842</v>
      </c>
      <c r="H68" s="115">
        <f>G68/E68</f>
        <v>0.27324521940843133</v>
      </c>
      <c r="I68" s="156">
        <f>I69+I78</f>
        <v>2.169567501675401</v>
      </c>
    </row>
    <row r="69" spans="1:15" ht="21.75" customHeight="1" x14ac:dyDescent="0.25">
      <c r="A69" s="267" t="s">
        <v>23</v>
      </c>
      <c r="B69" s="268">
        <f>SUM(B70:B77)</f>
        <v>14676.07290172996</v>
      </c>
      <c r="C69" s="269">
        <v>0</v>
      </c>
      <c r="D69" s="269">
        <v>1</v>
      </c>
      <c r="E69" s="268">
        <f>SUM(E70:E77)</f>
        <v>47041.132772701734</v>
      </c>
      <c r="F69" s="270">
        <f>E69/B69</f>
        <v>3.205294296893054</v>
      </c>
      <c r="G69" s="422">
        <f>SUM(G70:G77)</f>
        <v>14035.44771571841</v>
      </c>
      <c r="H69" s="271">
        <f>G69/E69</f>
        <v>0.29836542805073074</v>
      </c>
      <c r="I69" s="272">
        <f>G69/B69</f>
        <v>0.95634900492106201</v>
      </c>
    </row>
    <row r="70" spans="1:15" x14ac:dyDescent="0.25">
      <c r="A70" s="79" t="s">
        <v>367</v>
      </c>
      <c r="B70" s="110">
        <v>4290.3066694599902</v>
      </c>
      <c r="C70" s="157">
        <v>0</v>
      </c>
      <c r="D70" s="157">
        <v>1</v>
      </c>
      <c r="E70" s="110">
        <v>34376.720120393598</v>
      </c>
      <c r="F70" s="420">
        <f>E70/B70</f>
        <v>8.0126486913161639</v>
      </c>
      <c r="G70" s="421">
        <v>8435.4196455366891</v>
      </c>
      <c r="H70" s="992">
        <f>G70/E70</f>
        <v>0.24538174718222966</v>
      </c>
      <c r="I70" s="408">
        <f>G70/B70</f>
        <v>1.9661577354325661</v>
      </c>
    </row>
    <row r="71" spans="1:15" x14ac:dyDescent="0.25">
      <c r="A71" s="108" t="s">
        <v>368</v>
      </c>
      <c r="B71" s="993">
        <v>178.48452187000001</v>
      </c>
      <c r="C71" s="994">
        <v>0</v>
      </c>
      <c r="D71" s="994">
        <v>1</v>
      </c>
      <c r="E71" s="993">
        <v>2236.8784516129099</v>
      </c>
      <c r="F71" s="995">
        <f t="shared" ref="F71:F77" si="5">E71/B71</f>
        <v>12.532618672907391</v>
      </c>
      <c r="G71" s="996">
        <v>577.00998669886906</v>
      </c>
      <c r="H71" s="997">
        <f t="shared" ref="H71:H77" si="6">G71/E71</f>
        <v>0.25795321434779517</v>
      </c>
      <c r="I71" s="998">
        <f t="shared" ref="I71:I77" si="7">G71/B71</f>
        <v>3.2328292708716604</v>
      </c>
    </row>
    <row r="72" spans="1:15" x14ac:dyDescent="0.25">
      <c r="A72" s="16" t="s">
        <v>369</v>
      </c>
      <c r="B72" s="91">
        <v>530.92715083999997</v>
      </c>
      <c r="C72" s="992">
        <v>0</v>
      </c>
      <c r="D72" s="992">
        <v>1</v>
      </c>
      <c r="E72" s="91">
        <v>2762.3757769314502</v>
      </c>
      <c r="F72" s="230">
        <f t="shared" si="5"/>
        <v>5.2029280713201249</v>
      </c>
      <c r="G72" s="234">
        <v>576.02331697620195</v>
      </c>
      <c r="H72" s="992">
        <f t="shared" si="6"/>
        <v>0.20852460472125559</v>
      </c>
      <c r="I72" s="408">
        <f t="shared" si="7"/>
        <v>1.0849385194651537</v>
      </c>
    </row>
    <row r="73" spans="1:15" x14ac:dyDescent="0.25">
      <c r="A73" s="109" t="s">
        <v>370</v>
      </c>
      <c r="B73" s="90">
        <v>8952.7183927299702</v>
      </c>
      <c r="C73" s="158">
        <v>0</v>
      </c>
      <c r="D73" s="158">
        <v>1</v>
      </c>
      <c r="E73" s="90">
        <v>6329.7633611356296</v>
      </c>
      <c r="F73" s="231">
        <f t="shared" si="5"/>
        <v>0.70702138540129844</v>
      </c>
      <c r="G73" s="111">
        <v>3807.9828338379498</v>
      </c>
      <c r="H73" s="997">
        <f t="shared" si="6"/>
        <v>0.6015995569785022</v>
      </c>
      <c r="I73" s="998">
        <f t="shared" si="7"/>
        <v>0.42534375223174803</v>
      </c>
    </row>
    <row r="74" spans="1:15" x14ac:dyDescent="0.25">
      <c r="A74" s="16" t="s">
        <v>371</v>
      </c>
      <c r="B74" s="91">
        <v>257.77298939999997</v>
      </c>
      <c r="C74" s="159">
        <v>0</v>
      </c>
      <c r="D74" s="159">
        <v>1</v>
      </c>
      <c r="E74" s="91">
        <v>169.82251025156401</v>
      </c>
      <c r="F74" s="230">
        <f t="shared" si="5"/>
        <v>0.65880645853100395</v>
      </c>
      <c r="G74" s="234">
        <v>49.772581461729501</v>
      </c>
      <c r="H74" s="992">
        <f t="shared" si="6"/>
        <v>0.29308588942655267</v>
      </c>
      <c r="I74" s="408">
        <f t="shared" si="7"/>
        <v>0.19308687685851661</v>
      </c>
    </row>
    <row r="75" spans="1:15" x14ac:dyDescent="0.25">
      <c r="A75" s="17" t="s">
        <v>372</v>
      </c>
      <c r="B75" s="90">
        <v>282.82493369999997</v>
      </c>
      <c r="C75" s="158">
        <v>0</v>
      </c>
      <c r="D75" s="158">
        <v>1</v>
      </c>
      <c r="E75" s="90">
        <v>941.24672000000305</v>
      </c>
      <c r="F75" s="231">
        <f t="shared" si="5"/>
        <v>3.3280188832233892</v>
      </c>
      <c r="G75" s="111">
        <v>508.16262365306301</v>
      </c>
      <c r="H75" s="997">
        <f t="shared" si="6"/>
        <v>0.53988249080226425</v>
      </c>
      <c r="I75" s="998">
        <f t="shared" si="7"/>
        <v>1.7967391241116131</v>
      </c>
    </row>
    <row r="76" spans="1:15" x14ac:dyDescent="0.25">
      <c r="A76" s="999" t="s">
        <v>373</v>
      </c>
      <c r="B76" s="87">
        <v>59.65597185</v>
      </c>
      <c r="C76" s="88">
        <v>0</v>
      </c>
      <c r="D76" s="88">
        <v>1</v>
      </c>
      <c r="E76" s="87">
        <v>133.713384615385</v>
      </c>
      <c r="F76" s="232">
        <f t="shared" si="5"/>
        <v>2.2414082022097674</v>
      </c>
      <c r="G76" s="235">
        <v>42.556629890061998</v>
      </c>
      <c r="H76" s="992">
        <f t="shared" si="6"/>
        <v>0.31826753927792995</v>
      </c>
      <c r="I76" s="408">
        <f t="shared" si="7"/>
        <v>0.71336747303467152</v>
      </c>
    </row>
    <row r="77" spans="1:15" x14ac:dyDescent="0.25">
      <c r="A77" s="113" t="s">
        <v>374</v>
      </c>
      <c r="B77" s="1000">
        <v>123.38227188</v>
      </c>
      <c r="C77" s="1001">
        <v>0</v>
      </c>
      <c r="D77" s="1001">
        <v>1</v>
      </c>
      <c r="E77" s="1000">
        <v>90.612447761194005</v>
      </c>
      <c r="F77" s="1002">
        <f t="shared" si="5"/>
        <v>0.73440411155115137</v>
      </c>
      <c r="G77" s="1003">
        <v>38.520097663845704</v>
      </c>
      <c r="H77" s="1004">
        <f t="shared" si="6"/>
        <v>0.42510823419497618</v>
      </c>
      <c r="I77" s="1005">
        <f t="shared" si="7"/>
        <v>0.31220123504704023</v>
      </c>
    </row>
    <row r="78" spans="1:15" x14ac:dyDescent="0.25">
      <c r="A78" s="273" t="s">
        <v>24</v>
      </c>
      <c r="B78" s="1006">
        <f>SUM(B79:B86)</f>
        <v>4059.325983546762</v>
      </c>
      <c r="C78" s="1007">
        <v>0</v>
      </c>
      <c r="D78" s="1007">
        <v>1</v>
      </c>
      <c r="E78" s="1006">
        <f>SUM(E79:E86)</f>
        <v>22348.176670154699</v>
      </c>
      <c r="F78" s="1008">
        <f>E78/B78</f>
        <v>5.5053909838077075</v>
      </c>
      <c r="G78" s="1006">
        <f>SUM(G79:G86)</f>
        <v>4924.8493675944319</v>
      </c>
      <c r="H78" s="1009">
        <f>G78/E78</f>
        <v>0.22036918001330358</v>
      </c>
      <c r="I78" s="1010">
        <f>G78/B78</f>
        <v>1.2132184967543391</v>
      </c>
    </row>
    <row r="79" spans="1:15" x14ac:dyDescent="0.25">
      <c r="A79" s="79" t="s">
        <v>367</v>
      </c>
      <c r="B79" s="110">
        <v>2895.95515750199</v>
      </c>
      <c r="C79" s="157">
        <v>0</v>
      </c>
      <c r="D79" s="157">
        <v>1</v>
      </c>
      <c r="E79" s="110">
        <v>17601.408646817799</v>
      </c>
      <c r="F79" s="420">
        <f>E79/B79</f>
        <v>6.0779285898889839</v>
      </c>
      <c r="G79" s="421">
        <v>3398.0349890429802</v>
      </c>
      <c r="H79" s="992">
        <f>G79/E79</f>
        <v>0.19305471835956262</v>
      </c>
      <c r="I79" s="408">
        <f>G79/B79</f>
        <v>1.1733727921305512</v>
      </c>
    </row>
    <row r="80" spans="1:15" x14ac:dyDescent="0.25">
      <c r="A80" s="108" t="s">
        <v>368</v>
      </c>
      <c r="B80" s="993">
        <v>227.970166102772</v>
      </c>
      <c r="C80" s="994">
        <v>0</v>
      </c>
      <c r="D80" s="994">
        <v>1</v>
      </c>
      <c r="E80" s="993">
        <v>2810.51181263941</v>
      </c>
      <c r="F80" s="995">
        <f t="shared" ref="F80:F83" si="8">E80/B80</f>
        <v>12.328419374719381</v>
      </c>
      <c r="G80" s="996">
        <v>614.46686374179899</v>
      </c>
      <c r="H80" s="997">
        <f t="shared" ref="H80:H83" si="9">G80/E80</f>
        <v>0.21863166024722749</v>
      </c>
      <c r="I80" s="998">
        <f t="shared" ref="I80:I83" si="10">G80/B80</f>
        <v>2.6953827961189849</v>
      </c>
    </row>
    <row r="81" spans="1:10" x14ac:dyDescent="0.25">
      <c r="A81" s="16" t="s">
        <v>369</v>
      </c>
      <c r="B81" s="91">
        <v>214.16119764999999</v>
      </c>
      <c r="C81" s="992">
        <v>0</v>
      </c>
      <c r="D81" s="992">
        <v>1</v>
      </c>
      <c r="E81" s="91">
        <v>513.91422645739897</v>
      </c>
      <c r="F81" s="230">
        <f t="shared" si="8"/>
        <v>2.3996607793409908</v>
      </c>
      <c r="G81" s="234">
        <v>120.964532553002</v>
      </c>
      <c r="H81" s="992">
        <f t="shared" si="9"/>
        <v>0.23537883624443579</v>
      </c>
      <c r="I81" s="408">
        <f t="shared" si="10"/>
        <v>0.56482936162269826</v>
      </c>
    </row>
    <row r="82" spans="1:10" x14ac:dyDescent="0.25">
      <c r="A82" s="109" t="s">
        <v>370</v>
      </c>
      <c r="B82" s="90">
        <v>343.60892576800001</v>
      </c>
      <c r="C82" s="158">
        <v>0</v>
      </c>
      <c r="D82" s="158">
        <v>1</v>
      </c>
      <c r="E82" s="90">
        <v>794.28435294117901</v>
      </c>
      <c r="F82" s="231">
        <f t="shared" si="8"/>
        <v>2.3115940634134424</v>
      </c>
      <c r="G82" s="111">
        <v>526.35014304307401</v>
      </c>
      <c r="H82" s="997">
        <f t="shared" si="9"/>
        <v>0.66267217916862708</v>
      </c>
      <c r="I82" s="998">
        <f t="shared" si="10"/>
        <v>1.5318290753554473</v>
      </c>
    </row>
    <row r="83" spans="1:10" x14ac:dyDescent="0.25">
      <c r="A83" s="16" t="s">
        <v>371</v>
      </c>
      <c r="B83" s="91">
        <v>267.47606640700002</v>
      </c>
      <c r="C83" s="159">
        <v>0</v>
      </c>
      <c r="D83" s="159">
        <v>1</v>
      </c>
      <c r="E83" s="91">
        <v>183.562791928835</v>
      </c>
      <c r="F83" s="230">
        <f t="shared" si="8"/>
        <v>0.68627744678105163</v>
      </c>
      <c r="G83" s="234">
        <v>61.515483172135703</v>
      </c>
      <c r="H83" s="992">
        <f t="shared" si="9"/>
        <v>0.33511956603920301</v>
      </c>
      <c r="I83" s="408">
        <f t="shared" si="10"/>
        <v>0.22998500014775827</v>
      </c>
    </row>
    <row r="84" spans="1:10" x14ac:dyDescent="0.25">
      <c r="A84" s="17" t="s">
        <v>372</v>
      </c>
      <c r="B84" s="90">
        <v>0</v>
      </c>
      <c r="C84" s="158">
        <v>0</v>
      </c>
      <c r="D84" s="158">
        <v>1</v>
      </c>
      <c r="E84" s="90"/>
      <c r="F84" s="231">
        <v>0</v>
      </c>
      <c r="G84" s="111"/>
      <c r="H84" s="997">
        <v>0</v>
      </c>
      <c r="I84" s="998">
        <v>0</v>
      </c>
    </row>
    <row r="85" spans="1:10" x14ac:dyDescent="0.25">
      <c r="A85" s="999" t="s">
        <v>373</v>
      </c>
      <c r="B85" s="87">
        <v>8.3625110249999999</v>
      </c>
      <c r="C85" s="88">
        <v>0</v>
      </c>
      <c r="D85" s="88">
        <v>1</v>
      </c>
      <c r="E85" s="87">
        <v>57.036172703412099</v>
      </c>
      <c r="F85" s="232">
        <f>E85/B85</f>
        <v>6.8204600906235697</v>
      </c>
      <c r="G85" s="235">
        <v>29.963193326411702</v>
      </c>
      <c r="H85" s="992">
        <f>G85/E85</f>
        <v>0.52533667506444026</v>
      </c>
      <c r="I85" s="408">
        <f>G85/B85</f>
        <v>3.5830378264178973</v>
      </c>
    </row>
    <row r="86" spans="1:10" x14ac:dyDescent="0.25">
      <c r="A86" s="113" t="s">
        <v>374</v>
      </c>
      <c r="B86" s="1000">
        <v>101.791959092</v>
      </c>
      <c r="C86" s="1001">
        <v>0</v>
      </c>
      <c r="D86" s="1001">
        <v>1</v>
      </c>
      <c r="E86" s="1000">
        <v>387.458666666667</v>
      </c>
      <c r="F86" s="1002">
        <f>E86/B86</f>
        <v>3.8063779312517232</v>
      </c>
      <c r="G86" s="1003">
        <v>173.55416271502901</v>
      </c>
      <c r="H86" s="1004">
        <f>G86/E86</f>
        <v>0.4479294893778662</v>
      </c>
      <c r="I86" s="1005">
        <f>G86/B86</f>
        <v>1.704988923124763</v>
      </c>
    </row>
    <row r="87" spans="1:10" x14ac:dyDescent="0.25">
      <c r="B87" s="97"/>
      <c r="C87" s="114"/>
      <c r="D87" s="114"/>
      <c r="E87" s="98"/>
      <c r="F87" s="96"/>
      <c r="G87" s="96"/>
      <c r="H87" s="93"/>
      <c r="I87" s="1011"/>
      <c r="J87" s="988"/>
    </row>
    <row r="88" spans="1:10" ht="159" customHeight="1" x14ac:dyDescent="0.25">
      <c r="A88" s="1525" t="s">
        <v>375</v>
      </c>
      <c r="B88" s="1525"/>
      <c r="C88" s="1525"/>
      <c r="D88" s="1525"/>
      <c r="E88" s="1525"/>
      <c r="F88" s="1525"/>
      <c r="G88" s="1525"/>
      <c r="H88" s="1525"/>
      <c r="I88" s="1525"/>
      <c r="J88" s="28"/>
    </row>
    <row r="89" spans="1:10" ht="20.25" customHeight="1" x14ac:dyDescent="0.25"/>
    <row r="90" spans="1:10" x14ac:dyDescent="0.25">
      <c r="A90" s="1522" t="s">
        <v>376</v>
      </c>
      <c r="B90" s="1522"/>
      <c r="C90" s="1522"/>
      <c r="D90" s="1522"/>
      <c r="E90" s="1522"/>
      <c r="F90" s="1522"/>
      <c r="G90" s="128"/>
      <c r="H90" s="128"/>
      <c r="I90" s="23"/>
      <c r="J90" s="23"/>
    </row>
    <row r="91" spans="1:10" ht="18.75" customHeight="1" x14ac:dyDescent="0.25">
      <c r="A91" s="1523"/>
      <c r="B91" s="1523"/>
      <c r="C91" s="1523"/>
      <c r="D91" s="1523"/>
      <c r="E91" s="1523"/>
      <c r="F91" s="1523"/>
      <c r="G91" s="128"/>
      <c r="H91" s="128"/>
      <c r="I91" s="23"/>
      <c r="J91" s="23"/>
    </row>
    <row r="92" spans="1:10" ht="36.75" customHeight="1" x14ac:dyDescent="0.25">
      <c r="A92" s="19" t="s">
        <v>377</v>
      </c>
      <c r="B92" s="712" t="s">
        <v>330</v>
      </c>
      <c r="C92" s="81" t="s">
        <v>359</v>
      </c>
      <c r="D92" s="81" t="s">
        <v>360</v>
      </c>
      <c r="E92" s="89" t="s">
        <v>378</v>
      </c>
      <c r="F92" s="105" t="s">
        <v>332</v>
      </c>
      <c r="G92" s="170"/>
      <c r="H92" s="945"/>
      <c r="I92" s="713"/>
      <c r="J92" s="713"/>
    </row>
    <row r="93" spans="1:10" ht="33.75" customHeight="1" x14ac:dyDescent="0.25">
      <c r="A93" s="15" t="s">
        <v>241</v>
      </c>
      <c r="B93" s="124">
        <f>SUM(B94,B105,B116)</f>
        <v>5518.2056348600008</v>
      </c>
      <c r="C93" s="122">
        <v>0</v>
      </c>
      <c r="D93" s="122">
        <v>1</v>
      </c>
      <c r="E93" s="124">
        <f>SUM(E94,E105,E116)</f>
        <v>53246.440597971545</v>
      </c>
      <c r="F93" s="123">
        <f>E93/B93</f>
        <v>9.6492309495679809</v>
      </c>
      <c r="G93" s="713"/>
      <c r="H93" s="713"/>
    </row>
    <row r="94" spans="1:10" x14ac:dyDescent="0.25">
      <c r="A94" s="15" t="s">
        <v>379</v>
      </c>
      <c r="B94" s="121">
        <f>SUM(B95:B104)</f>
        <v>47.858390189999987</v>
      </c>
      <c r="C94" s="122">
        <v>0</v>
      </c>
      <c r="D94" s="122">
        <v>1</v>
      </c>
      <c r="E94" s="124">
        <f>SUM(E95:E104)</f>
        <v>720.81783714852031</v>
      </c>
      <c r="F94" s="123">
        <f>E94/B94</f>
        <v>15.061472696570878</v>
      </c>
    </row>
    <row r="95" spans="1:10" x14ac:dyDescent="0.25">
      <c r="A95" s="945" t="s">
        <v>380</v>
      </c>
      <c r="B95" s="406">
        <v>8.1811560000000005E-2</v>
      </c>
      <c r="C95" s="117">
        <v>0</v>
      </c>
      <c r="D95" s="117">
        <v>1</v>
      </c>
      <c r="E95" s="406">
        <v>1.23449810387141</v>
      </c>
      <c r="F95" s="228">
        <f>E95/B95</f>
        <v>15.089531404503347</v>
      </c>
    </row>
    <row r="96" spans="1:10" x14ac:dyDescent="0.25">
      <c r="A96" s="101" t="s">
        <v>381</v>
      </c>
      <c r="B96" s="960">
        <v>21.151429619999998</v>
      </c>
      <c r="C96" s="120">
        <v>0</v>
      </c>
      <c r="D96" s="119">
        <v>1</v>
      </c>
      <c r="E96" s="960">
        <v>331.82841239199701</v>
      </c>
      <c r="F96" s="1012">
        <f>E96/B96</f>
        <v>15.688226202839383</v>
      </c>
    </row>
    <row r="97" spans="1:6" x14ac:dyDescent="0.25">
      <c r="A97" s="945" t="s">
        <v>382</v>
      </c>
      <c r="B97" s="408">
        <v>4.7479944600000001</v>
      </c>
      <c r="C97" s="84">
        <v>0</v>
      </c>
      <c r="D97" s="85">
        <v>1</v>
      </c>
      <c r="E97" s="408">
        <v>86.400660459170695</v>
      </c>
      <c r="F97" s="228">
        <f t="shared" ref="F97:F115" si="11">E97/B97</f>
        <v>18.197295971396457</v>
      </c>
    </row>
    <row r="98" spans="1:6" x14ac:dyDescent="0.25">
      <c r="A98" s="101" t="s">
        <v>383</v>
      </c>
      <c r="B98" s="407">
        <v>0.35614003</v>
      </c>
      <c r="C98" s="119">
        <v>0</v>
      </c>
      <c r="D98" s="120">
        <v>1</v>
      </c>
      <c r="E98" s="407">
        <v>10.443629759308299</v>
      </c>
      <c r="F98" s="164">
        <f t="shared" si="11"/>
        <v>29.324504070234113</v>
      </c>
    </row>
    <row r="99" spans="1:6" x14ac:dyDescent="0.25">
      <c r="A99" s="16" t="s">
        <v>384</v>
      </c>
      <c r="B99" s="408">
        <v>0.32551549000000002</v>
      </c>
      <c r="C99" s="85">
        <v>0</v>
      </c>
      <c r="D99" s="85">
        <v>1</v>
      </c>
      <c r="E99" s="408">
        <v>0</v>
      </c>
      <c r="F99" s="228">
        <f>E99/B99</f>
        <v>0</v>
      </c>
    </row>
    <row r="100" spans="1:6" x14ac:dyDescent="0.25">
      <c r="A100" s="116" t="s">
        <v>385</v>
      </c>
      <c r="B100" s="407">
        <v>1.0000000000000001E-43</v>
      </c>
      <c r="C100" s="120">
        <v>0</v>
      </c>
      <c r="D100" s="120">
        <v>1</v>
      </c>
      <c r="E100" s="407">
        <v>0</v>
      </c>
      <c r="F100" s="164">
        <f>E100/B100</f>
        <v>0</v>
      </c>
    </row>
    <row r="101" spans="1:6" x14ac:dyDescent="0.25">
      <c r="A101" s="16" t="s">
        <v>386</v>
      </c>
      <c r="B101" s="409">
        <v>9.1767283200000005</v>
      </c>
      <c r="C101" s="85">
        <v>0</v>
      </c>
      <c r="D101" s="85">
        <v>1</v>
      </c>
      <c r="E101" s="409">
        <v>233.143339769118</v>
      </c>
      <c r="F101" s="229">
        <f t="shared" si="11"/>
        <v>25.405932445553535</v>
      </c>
    </row>
    <row r="102" spans="1:6" x14ac:dyDescent="0.25">
      <c r="A102" s="116" t="s">
        <v>387</v>
      </c>
      <c r="B102" s="960">
        <v>2.1893421000000002</v>
      </c>
      <c r="C102" s="120">
        <v>0</v>
      </c>
      <c r="D102" s="120">
        <v>1</v>
      </c>
      <c r="E102" s="1013">
        <v>35.506452266010399</v>
      </c>
      <c r="F102" s="1012">
        <f t="shared" si="11"/>
        <v>16.217863926341341</v>
      </c>
    </row>
    <row r="103" spans="1:6" x14ac:dyDescent="0.25">
      <c r="A103" s="118" t="s">
        <v>388</v>
      </c>
      <c r="B103" s="409">
        <v>8.2949493600000004</v>
      </c>
      <c r="C103" s="85">
        <v>0</v>
      </c>
      <c r="D103" s="85">
        <v>1</v>
      </c>
      <c r="E103" s="410">
        <v>11.794110160941701</v>
      </c>
      <c r="F103" s="229">
        <f t="shared" si="11"/>
        <v>1.4218423343022917</v>
      </c>
    </row>
    <row r="104" spans="1:6" x14ac:dyDescent="0.25">
      <c r="A104" s="1015" t="s">
        <v>389</v>
      </c>
      <c r="B104" s="1016">
        <v>1.53447925</v>
      </c>
      <c r="C104" s="1017">
        <v>0</v>
      </c>
      <c r="D104" s="1017">
        <v>1</v>
      </c>
      <c r="E104" s="1018">
        <v>10.4667342381028</v>
      </c>
      <c r="F104" s="1019">
        <f t="shared" si="11"/>
        <v>6.8210334144973288</v>
      </c>
    </row>
    <row r="105" spans="1:6" x14ac:dyDescent="0.25">
      <c r="A105" s="15" t="s">
        <v>24</v>
      </c>
      <c r="B105" s="121">
        <f>SUM(B106:B115)</f>
        <v>902.54724467000028</v>
      </c>
      <c r="C105" s="122">
        <v>0</v>
      </c>
      <c r="D105" s="122">
        <v>1</v>
      </c>
      <c r="E105" s="124">
        <f>SUM(E106:E115)</f>
        <v>11088.372760823018</v>
      </c>
      <c r="F105" s="123">
        <f>E105/B105</f>
        <v>12.285642470580337</v>
      </c>
    </row>
    <row r="106" spans="1:6" x14ac:dyDescent="0.25">
      <c r="A106" s="945" t="s">
        <v>380</v>
      </c>
      <c r="B106" s="406">
        <v>0.58082247099999995</v>
      </c>
      <c r="C106" s="117">
        <v>0</v>
      </c>
      <c r="D106" s="117">
        <v>1</v>
      </c>
      <c r="E106" s="1191">
        <v>5.8277607864902299</v>
      </c>
      <c r="F106" s="163">
        <f t="shared" si="11"/>
        <v>10.033635193997565</v>
      </c>
    </row>
    <row r="107" spans="1:6" x14ac:dyDescent="0.25">
      <c r="A107" s="101" t="s">
        <v>381</v>
      </c>
      <c r="B107" s="960">
        <v>704.074408801</v>
      </c>
      <c r="C107" s="120">
        <v>0</v>
      </c>
      <c r="D107" s="119">
        <v>1</v>
      </c>
      <c r="E107" s="1192">
        <v>9108.5420151500603</v>
      </c>
      <c r="F107" s="1012">
        <f t="shared" si="11"/>
        <v>12.936902550770744</v>
      </c>
    </row>
    <row r="108" spans="1:6" x14ac:dyDescent="0.25">
      <c r="A108" s="945" t="s">
        <v>382</v>
      </c>
      <c r="B108" s="408">
        <v>29.166332684</v>
      </c>
      <c r="C108" s="84">
        <v>0</v>
      </c>
      <c r="D108" s="85">
        <v>1</v>
      </c>
      <c r="E108" s="1193">
        <v>337.83834258949798</v>
      </c>
      <c r="F108" s="228">
        <f t="shared" si="11"/>
        <v>11.583161525645922</v>
      </c>
    </row>
    <row r="109" spans="1:6" x14ac:dyDescent="0.25">
      <c r="A109" s="101" t="s">
        <v>383</v>
      </c>
      <c r="B109" s="407">
        <v>2.07160659</v>
      </c>
      <c r="C109" s="119">
        <v>0</v>
      </c>
      <c r="D109" s="120">
        <v>1</v>
      </c>
      <c r="E109" s="1194">
        <v>27.297388349764098</v>
      </c>
      <c r="F109" s="164">
        <f t="shared" si="11"/>
        <v>13.176917123904349</v>
      </c>
    </row>
    <row r="110" spans="1:6" x14ac:dyDescent="0.25">
      <c r="A110" s="16" t="s">
        <v>384</v>
      </c>
      <c r="B110" s="408">
        <v>0.41499416</v>
      </c>
      <c r="C110" s="85">
        <v>0</v>
      </c>
      <c r="D110" s="85">
        <v>1</v>
      </c>
      <c r="E110" s="1193">
        <v>0</v>
      </c>
      <c r="F110" s="228">
        <f t="shared" si="11"/>
        <v>0</v>
      </c>
    </row>
    <row r="111" spans="1:6" x14ac:dyDescent="0.25">
      <c r="A111" s="116" t="s">
        <v>385</v>
      </c>
      <c r="B111" s="407">
        <v>1.33617863</v>
      </c>
      <c r="C111" s="120">
        <v>0</v>
      </c>
      <c r="D111" s="120">
        <v>1</v>
      </c>
      <c r="E111" s="1194">
        <v>9.7355013537059598</v>
      </c>
      <c r="F111" s="164">
        <f t="shared" si="11"/>
        <v>7.2860777257797933</v>
      </c>
    </row>
    <row r="112" spans="1:6" x14ac:dyDescent="0.25">
      <c r="A112" s="16" t="s">
        <v>386</v>
      </c>
      <c r="B112" s="409">
        <v>64.053079053000104</v>
      </c>
      <c r="C112" s="85">
        <v>0</v>
      </c>
      <c r="D112" s="85">
        <v>1</v>
      </c>
      <c r="E112" s="1195">
        <v>1178.5586370533699</v>
      </c>
      <c r="F112" s="229">
        <f t="shared" si="11"/>
        <v>18.399718709512509</v>
      </c>
    </row>
    <row r="113" spans="1:8" x14ac:dyDescent="0.25">
      <c r="A113" s="116" t="s">
        <v>387</v>
      </c>
      <c r="B113" s="960">
        <v>9.0651798960000001</v>
      </c>
      <c r="C113" s="120">
        <v>0</v>
      </c>
      <c r="D113" s="120">
        <v>1</v>
      </c>
      <c r="E113" s="1196">
        <v>210.09759806093101</v>
      </c>
      <c r="F113" s="1012">
        <f t="shared" si="11"/>
        <v>23.176329700157005</v>
      </c>
    </row>
    <row r="114" spans="1:8" x14ac:dyDescent="0.25">
      <c r="A114" s="118" t="s">
        <v>388</v>
      </c>
      <c r="B114" s="409">
        <v>62.994655520000101</v>
      </c>
      <c r="C114" s="85">
        <v>0</v>
      </c>
      <c r="D114" s="85">
        <v>1</v>
      </c>
      <c r="E114" s="1197">
        <v>78.827093128187101</v>
      </c>
      <c r="F114" s="229">
        <f t="shared" si="11"/>
        <v>1.2513298545328242</v>
      </c>
    </row>
    <row r="115" spans="1:8" x14ac:dyDescent="0.25">
      <c r="A115" s="1015" t="s">
        <v>389</v>
      </c>
      <c r="B115" s="1016">
        <v>28.789986864999999</v>
      </c>
      <c r="C115" s="1017">
        <v>0</v>
      </c>
      <c r="D115" s="1017">
        <v>1</v>
      </c>
      <c r="E115" s="1198">
        <v>131.64842435101301</v>
      </c>
      <c r="F115" s="1019">
        <f t="shared" si="11"/>
        <v>4.572715679528776</v>
      </c>
    </row>
    <row r="116" spans="1:8" ht="20.25" customHeight="1" x14ac:dyDescent="0.25">
      <c r="A116" s="15" t="s">
        <v>25</v>
      </c>
      <c r="B116" s="124">
        <f>+B117+B128</f>
        <v>4567.8</v>
      </c>
      <c r="C116" s="122">
        <v>0</v>
      </c>
      <c r="D116" s="122">
        <v>1</v>
      </c>
      <c r="E116" s="124">
        <f>+E117+E128</f>
        <v>41437.250000000007</v>
      </c>
      <c r="F116" s="389">
        <f>+E116/B116</f>
        <v>9.0715990192215088</v>
      </c>
    </row>
    <row r="117" spans="1:8" x14ac:dyDescent="0.25">
      <c r="A117" s="22" t="s">
        <v>390</v>
      </c>
      <c r="B117" s="1021">
        <f>SUM(B118:B127)</f>
        <v>4276.24</v>
      </c>
      <c r="C117" s="177">
        <v>0</v>
      </c>
      <c r="D117" s="177">
        <v>1</v>
      </c>
      <c r="E117" s="1021">
        <f>SUM(E118:E127)</f>
        <v>36124.200000000004</v>
      </c>
      <c r="F117" s="1022">
        <f t="shared" ref="F117:F127" si="12">+E117/B117</f>
        <v>8.4476549492077169</v>
      </c>
    </row>
    <row r="118" spans="1:8" x14ac:dyDescent="0.25">
      <c r="A118" s="20" t="s">
        <v>380</v>
      </c>
      <c r="B118" s="383">
        <v>1.93</v>
      </c>
      <c r="C118" s="83">
        <v>0</v>
      </c>
      <c r="D118" s="83">
        <v>1</v>
      </c>
      <c r="E118" s="383">
        <v>39.630000000000003</v>
      </c>
      <c r="F118" s="385">
        <f t="shared" si="12"/>
        <v>20.533678756476686</v>
      </c>
    </row>
    <row r="119" spans="1:8" x14ac:dyDescent="0.25">
      <c r="A119" s="945" t="s">
        <v>381</v>
      </c>
      <c r="B119" s="168">
        <v>455.69</v>
      </c>
      <c r="C119" s="85">
        <v>0</v>
      </c>
      <c r="D119" s="84">
        <v>1</v>
      </c>
      <c r="E119" s="168">
        <v>7328.37</v>
      </c>
      <c r="F119" s="394">
        <f t="shared" si="12"/>
        <v>16.081919726129605</v>
      </c>
    </row>
    <row r="120" spans="1:8" x14ac:dyDescent="0.25">
      <c r="A120" s="20" t="s">
        <v>382</v>
      </c>
      <c r="B120" s="384">
        <v>272.3</v>
      </c>
      <c r="C120" s="1023">
        <v>0</v>
      </c>
      <c r="D120" s="86">
        <v>1</v>
      </c>
      <c r="E120" s="384">
        <v>3761</v>
      </c>
      <c r="F120" s="387">
        <f t="shared" si="12"/>
        <v>13.81197208960705</v>
      </c>
    </row>
    <row r="121" spans="1:8" x14ac:dyDescent="0.25">
      <c r="A121" s="945" t="s">
        <v>383</v>
      </c>
      <c r="B121" s="168">
        <v>17.55</v>
      </c>
      <c r="C121" s="84">
        <v>0</v>
      </c>
      <c r="D121" s="85">
        <v>1</v>
      </c>
      <c r="E121" s="168">
        <v>230.51</v>
      </c>
      <c r="F121" s="386">
        <f t="shared" si="12"/>
        <v>13.134472934472933</v>
      </c>
    </row>
    <row r="122" spans="1:8" x14ac:dyDescent="0.25">
      <c r="A122" s="17" t="s">
        <v>384</v>
      </c>
      <c r="B122" s="384">
        <v>0.28999999999999998</v>
      </c>
      <c r="C122" s="86">
        <v>0</v>
      </c>
      <c r="D122" s="86">
        <v>1</v>
      </c>
      <c r="E122" s="384">
        <v>4.21</v>
      </c>
      <c r="F122" s="387">
        <f t="shared" si="12"/>
        <v>14.517241379310345</v>
      </c>
      <c r="G122" s="172"/>
      <c r="H122" s="93"/>
    </row>
    <row r="123" spans="1:8" x14ac:dyDescent="0.25">
      <c r="A123" s="16" t="s">
        <v>385</v>
      </c>
      <c r="B123" s="168">
        <v>1.79</v>
      </c>
      <c r="C123" s="85">
        <v>0</v>
      </c>
      <c r="D123" s="85">
        <v>1</v>
      </c>
      <c r="E123" s="168">
        <v>109.04</v>
      </c>
      <c r="F123" s="386">
        <f t="shared" si="12"/>
        <v>60.916201117318437</v>
      </c>
      <c r="G123" s="173"/>
      <c r="H123" s="93"/>
    </row>
    <row r="124" spans="1:8" x14ac:dyDescent="0.25">
      <c r="A124" s="17" t="s">
        <v>386</v>
      </c>
      <c r="B124" s="384">
        <v>542.09</v>
      </c>
      <c r="C124" s="86">
        <v>0</v>
      </c>
      <c r="D124" s="86">
        <v>1</v>
      </c>
      <c r="E124" s="384">
        <v>12735.2</v>
      </c>
      <c r="F124" s="388">
        <f t="shared" si="12"/>
        <v>23.492777952000591</v>
      </c>
      <c r="G124" s="173"/>
      <c r="H124" s="93"/>
    </row>
    <row r="125" spans="1:8" x14ac:dyDescent="0.25">
      <c r="A125" s="16" t="s">
        <v>387</v>
      </c>
      <c r="B125" s="168">
        <v>101.87</v>
      </c>
      <c r="C125" s="85">
        <v>0</v>
      </c>
      <c r="D125" s="85">
        <v>1</v>
      </c>
      <c r="E125" s="168">
        <v>2697.5</v>
      </c>
      <c r="F125" s="394">
        <f t="shared" si="12"/>
        <v>26.479827230784331</v>
      </c>
      <c r="G125" s="1014"/>
      <c r="H125" s="93"/>
    </row>
    <row r="126" spans="1:8" ht="13.5" customHeight="1" x14ac:dyDescent="0.25">
      <c r="A126" s="21" t="s">
        <v>388</v>
      </c>
      <c r="B126" s="384">
        <v>2031.95</v>
      </c>
      <c r="C126" s="86">
        <v>0</v>
      </c>
      <c r="D126" s="86">
        <v>1</v>
      </c>
      <c r="E126" s="384">
        <v>7281.34</v>
      </c>
      <c r="F126" s="388">
        <f t="shared" si="12"/>
        <v>3.5834247889957922</v>
      </c>
      <c r="G126" s="173"/>
      <c r="H126" s="93"/>
    </row>
    <row r="127" spans="1:8" ht="15.75" customHeight="1" x14ac:dyDescent="0.25">
      <c r="A127" s="1024" t="s">
        <v>389</v>
      </c>
      <c r="B127" s="1025">
        <v>850.78</v>
      </c>
      <c r="C127" s="1026">
        <v>0</v>
      </c>
      <c r="D127" s="1026">
        <v>1</v>
      </c>
      <c r="E127" s="1025">
        <v>1937.4</v>
      </c>
      <c r="F127" s="1027">
        <f t="shared" si="12"/>
        <v>2.2772044476833027</v>
      </c>
      <c r="G127" s="1020"/>
      <c r="H127" s="93"/>
    </row>
    <row r="128" spans="1:8" ht="15" customHeight="1" x14ac:dyDescent="0.25">
      <c r="A128" s="888" t="s">
        <v>391</v>
      </c>
      <c r="B128" s="165">
        <f>SUM(B129:B138)</f>
        <v>291.56</v>
      </c>
      <c r="C128" s="178">
        <v>0</v>
      </c>
      <c r="D128" s="178">
        <v>1</v>
      </c>
      <c r="E128" s="165">
        <f>SUM(E129:E138)</f>
        <v>5313.05</v>
      </c>
      <c r="F128" s="165">
        <f>IFERROR(E128/B128,0)</f>
        <v>18.222835779942379</v>
      </c>
      <c r="G128" s="133"/>
      <c r="H128" s="132"/>
    </row>
    <row r="129" spans="1:10" ht="15" customHeight="1" x14ac:dyDescent="0.25">
      <c r="A129" s="945" t="s">
        <v>380</v>
      </c>
      <c r="B129" s="390">
        <v>0.77</v>
      </c>
      <c r="C129" s="117">
        <v>0</v>
      </c>
      <c r="D129" s="117">
        <v>1</v>
      </c>
      <c r="E129" s="166" t="s">
        <v>392</v>
      </c>
      <c r="F129" s="392">
        <f t="shared" ref="F129:F138" si="13">IFERROR(E129/B129,0)</f>
        <v>0</v>
      </c>
      <c r="G129" s="174"/>
      <c r="H129" s="94"/>
    </row>
    <row r="130" spans="1:10" x14ac:dyDescent="0.25">
      <c r="A130" s="101" t="s">
        <v>381</v>
      </c>
      <c r="B130" s="391">
        <v>3.18</v>
      </c>
      <c r="C130" s="120">
        <v>0</v>
      </c>
      <c r="D130" s="119">
        <v>1</v>
      </c>
      <c r="E130" s="167">
        <v>57.76</v>
      </c>
      <c r="F130" s="393">
        <f t="shared" si="13"/>
        <v>18.163522012578614</v>
      </c>
      <c r="G130" s="175"/>
      <c r="H130" s="94"/>
    </row>
    <row r="131" spans="1:10" x14ac:dyDescent="0.25">
      <c r="A131" s="945" t="s">
        <v>382</v>
      </c>
      <c r="B131" s="382">
        <v>22.84</v>
      </c>
      <c r="C131" s="84">
        <v>0</v>
      </c>
      <c r="D131" s="85">
        <v>1</v>
      </c>
      <c r="E131" s="168">
        <v>393.77</v>
      </c>
      <c r="F131" s="394">
        <f t="shared" si="13"/>
        <v>17.240367775831874</v>
      </c>
      <c r="G131" s="175"/>
      <c r="H131" s="94"/>
    </row>
    <row r="132" spans="1:10" x14ac:dyDescent="0.25">
      <c r="A132" s="101" t="s">
        <v>383</v>
      </c>
      <c r="B132" s="391">
        <v>55.4</v>
      </c>
      <c r="C132" s="119">
        <v>0</v>
      </c>
      <c r="D132" s="120">
        <v>1</v>
      </c>
      <c r="E132" s="167">
        <v>734.69</v>
      </c>
      <c r="F132" s="395">
        <f t="shared" si="13"/>
        <v>13.261552346570399</v>
      </c>
      <c r="G132" s="176"/>
      <c r="H132" s="107"/>
    </row>
    <row r="133" spans="1:10" x14ac:dyDescent="0.25">
      <c r="A133" s="16" t="s">
        <v>384</v>
      </c>
      <c r="B133" s="382">
        <v>0</v>
      </c>
      <c r="C133" s="85">
        <v>0</v>
      </c>
      <c r="D133" s="85">
        <v>1</v>
      </c>
      <c r="E133" s="168" t="s">
        <v>392</v>
      </c>
      <c r="F133" s="394">
        <f t="shared" si="13"/>
        <v>0</v>
      </c>
      <c r="G133" s="172"/>
      <c r="H133" s="93"/>
    </row>
    <row r="134" spans="1:10" x14ac:dyDescent="0.25">
      <c r="A134" s="116" t="s">
        <v>385</v>
      </c>
      <c r="B134" s="391">
        <v>0.17</v>
      </c>
      <c r="C134" s="120">
        <v>0</v>
      </c>
      <c r="D134" s="120">
        <v>1</v>
      </c>
      <c r="E134" s="167" t="s">
        <v>392</v>
      </c>
      <c r="F134" s="395">
        <f t="shared" si="13"/>
        <v>0</v>
      </c>
      <c r="G134" s="173"/>
      <c r="H134" s="93"/>
    </row>
    <row r="135" spans="1:10" x14ac:dyDescent="0.25">
      <c r="A135" s="16" t="s">
        <v>386</v>
      </c>
      <c r="B135" s="382">
        <v>66.17</v>
      </c>
      <c r="C135" s="85">
        <v>0</v>
      </c>
      <c r="D135" s="85">
        <v>1</v>
      </c>
      <c r="E135" s="168">
        <v>1394.16</v>
      </c>
      <c r="F135" s="386">
        <f t="shared" si="13"/>
        <v>21.069366782529848</v>
      </c>
      <c r="G135" s="173"/>
      <c r="H135" s="93"/>
    </row>
    <row r="136" spans="1:10" x14ac:dyDescent="0.25">
      <c r="A136" s="116" t="s">
        <v>387</v>
      </c>
      <c r="B136" s="391">
        <v>95.13</v>
      </c>
      <c r="C136" s="120">
        <v>0</v>
      </c>
      <c r="D136" s="120">
        <v>1</v>
      </c>
      <c r="E136" s="167">
        <v>2617.17</v>
      </c>
      <c r="F136" s="393">
        <f t="shared" si="13"/>
        <v>27.511510564490699</v>
      </c>
      <c r="G136" s="172"/>
      <c r="H136" s="93"/>
    </row>
    <row r="137" spans="1:10" x14ac:dyDescent="0.25">
      <c r="A137" s="118" t="s">
        <v>388</v>
      </c>
      <c r="B137" s="382">
        <v>21.03</v>
      </c>
      <c r="C137" s="85">
        <v>0</v>
      </c>
      <c r="D137" s="85">
        <v>1</v>
      </c>
      <c r="E137" s="168">
        <v>65.37</v>
      </c>
      <c r="F137" s="386">
        <f t="shared" si="13"/>
        <v>3.108416547788873</v>
      </c>
      <c r="G137" s="173"/>
      <c r="H137" s="93"/>
    </row>
    <row r="138" spans="1:10" x14ac:dyDescent="0.25">
      <c r="A138" s="1015" t="s">
        <v>389</v>
      </c>
      <c r="B138" s="1028">
        <v>26.87</v>
      </c>
      <c r="C138" s="1017">
        <v>0</v>
      </c>
      <c r="D138" s="1017">
        <v>1</v>
      </c>
      <c r="E138" s="1029">
        <v>50.13</v>
      </c>
      <c r="F138" s="396">
        <f t="shared" si="13"/>
        <v>1.8656494231484928</v>
      </c>
      <c r="G138" s="173"/>
      <c r="H138" s="93"/>
    </row>
    <row r="139" spans="1:10" x14ac:dyDescent="0.25">
      <c r="A139" s="1521"/>
      <c r="B139" s="1521"/>
      <c r="C139" s="1521"/>
      <c r="D139" s="1521"/>
      <c r="E139" s="1521"/>
      <c r="F139" s="1521"/>
      <c r="G139" s="1521"/>
      <c r="H139" s="1521"/>
    </row>
    <row r="140" spans="1:10" ht="195" customHeight="1" x14ac:dyDescent="0.25">
      <c r="A140" s="1525" t="s">
        <v>393</v>
      </c>
      <c r="B140" s="1525"/>
      <c r="C140" s="1525"/>
      <c r="D140" s="1525"/>
      <c r="E140" s="1525"/>
      <c r="F140" s="1525"/>
      <c r="G140" s="28"/>
      <c r="H140" s="28"/>
      <c r="I140" s="28"/>
      <c r="J140" s="28"/>
    </row>
    <row r="141" spans="1:10" x14ac:dyDescent="0.25"/>
    <row r="142" spans="1:10" x14ac:dyDescent="0.25">
      <c r="A142" s="1522" t="s">
        <v>394</v>
      </c>
      <c r="B142" s="1522"/>
      <c r="C142" s="1522"/>
      <c r="D142" s="1522"/>
      <c r="E142" s="1522"/>
      <c r="F142" s="1522"/>
      <c r="G142" s="1522"/>
      <c r="H142" s="1522"/>
      <c r="I142" s="128"/>
      <c r="J142" s="128"/>
    </row>
    <row r="143" spans="1:10" x14ac:dyDescent="0.25">
      <c r="A143" s="1523"/>
      <c r="B143" s="1523"/>
      <c r="C143" s="1523"/>
      <c r="D143" s="1523"/>
      <c r="E143" s="1523"/>
      <c r="F143" s="1523"/>
      <c r="G143" s="1523"/>
      <c r="H143" s="1523"/>
      <c r="I143" s="128"/>
      <c r="J143" s="128"/>
    </row>
    <row r="144" spans="1:10" ht="57" customHeight="1" x14ac:dyDescent="0.25">
      <c r="A144" s="507" t="s">
        <v>395</v>
      </c>
      <c r="B144" s="712" t="s">
        <v>396</v>
      </c>
      <c r="C144" s="80" t="s">
        <v>397</v>
      </c>
      <c r="D144" s="81" t="s">
        <v>359</v>
      </c>
      <c r="E144" s="81" t="s">
        <v>360</v>
      </c>
      <c r="F144" s="89" t="s">
        <v>331</v>
      </c>
      <c r="G144" s="106" t="s">
        <v>398</v>
      </c>
      <c r="H144" s="89" t="s">
        <v>332</v>
      </c>
    </row>
    <row r="145" spans="1:8" ht="18.75" customHeight="1" x14ac:dyDescent="0.25">
      <c r="A145" s="15" t="s">
        <v>241</v>
      </c>
      <c r="B145" s="136">
        <f>B146+B157+B168</f>
        <v>20824.854995546</v>
      </c>
      <c r="C145" s="122">
        <f>B145/B145</f>
        <v>1</v>
      </c>
      <c r="D145" s="122">
        <v>0</v>
      </c>
      <c r="E145" s="122">
        <v>1</v>
      </c>
      <c r="F145" s="136">
        <f>F146+F157+F168</f>
        <v>138246.00285242533</v>
      </c>
      <c r="G145" s="135">
        <v>1</v>
      </c>
      <c r="H145" s="151">
        <f>H146+H157+H168</f>
        <v>15.374180020855672</v>
      </c>
    </row>
    <row r="146" spans="1:8" ht="18.75" customHeight="1" x14ac:dyDescent="0.25">
      <c r="A146" s="274" t="s">
        <v>379</v>
      </c>
      <c r="B146" s="275">
        <f>SUM(B147:B156)</f>
        <v>5029.6280109599993</v>
      </c>
      <c r="C146" s="276">
        <f>B146/$B$146</f>
        <v>1</v>
      </c>
      <c r="D146" s="269">
        <v>0</v>
      </c>
      <c r="E146" s="269">
        <v>1</v>
      </c>
      <c r="F146" s="1187">
        <f>SUM(F147:F156)</f>
        <v>7238.9954515539321</v>
      </c>
      <c r="G146" s="276">
        <f>F146/$F$146</f>
        <v>1</v>
      </c>
      <c r="H146" s="277">
        <f>F146/B146</f>
        <v>1.4392705456108341</v>
      </c>
    </row>
    <row r="147" spans="1:8" x14ac:dyDescent="0.25">
      <c r="A147" s="945" t="s">
        <v>399</v>
      </c>
      <c r="B147" s="137">
        <v>1.4714240300000001</v>
      </c>
      <c r="C147" s="139">
        <f>B147/$B$146</f>
        <v>2.9255126359119173E-4</v>
      </c>
      <c r="D147" s="147">
        <v>0</v>
      </c>
      <c r="E147" s="147">
        <v>1</v>
      </c>
      <c r="F147" s="1188">
        <v>36.705964108563698</v>
      </c>
      <c r="G147" s="139">
        <f>F147/$F$146</f>
        <v>5.0705880883906828E-3</v>
      </c>
      <c r="H147" s="138">
        <f>F147/B147</f>
        <v>24.945877843631312</v>
      </c>
    </row>
    <row r="148" spans="1:8" ht="18.75" customHeight="1" x14ac:dyDescent="0.25">
      <c r="A148" s="101" t="s">
        <v>400</v>
      </c>
      <c r="B148" s="140">
        <v>56.133682370000002</v>
      </c>
      <c r="C148" s="142">
        <f t="shared" ref="C148:C156" si="14">B148/$B$146</f>
        <v>1.1160603179336483E-2</v>
      </c>
      <c r="D148" s="260">
        <v>0</v>
      </c>
      <c r="E148" s="152">
        <v>1</v>
      </c>
      <c r="F148" s="1189">
        <v>233.112812369681</v>
      </c>
      <c r="G148" s="142">
        <f>F148/$F$146</f>
        <v>3.2202370332977723E-2</v>
      </c>
      <c r="H148" s="141">
        <f t="shared" ref="H148:H156" si="15">F148/B148</f>
        <v>4.1528152532937241</v>
      </c>
    </row>
    <row r="149" spans="1:8" x14ac:dyDescent="0.25">
      <c r="A149" s="945" t="s">
        <v>401</v>
      </c>
      <c r="B149" s="137">
        <v>102.16195471</v>
      </c>
      <c r="C149" s="139">
        <f t="shared" si="14"/>
        <v>2.0312029932905609E-2</v>
      </c>
      <c r="D149" s="153">
        <v>0</v>
      </c>
      <c r="E149" s="154">
        <v>1</v>
      </c>
      <c r="F149" s="1188">
        <v>127.121564297522</v>
      </c>
      <c r="G149" s="139">
        <f>F149/$F$146</f>
        <v>1.7560663651229939E-2</v>
      </c>
      <c r="H149" s="138">
        <f t="shared" si="15"/>
        <v>1.2443141349279494</v>
      </c>
    </row>
    <row r="150" spans="1:8" x14ac:dyDescent="0.25">
      <c r="A150" s="101" t="s">
        <v>402</v>
      </c>
      <c r="B150" s="140">
        <v>249.92083880000001</v>
      </c>
      <c r="C150" s="142">
        <f t="shared" si="14"/>
        <v>4.9689726209453396E-2</v>
      </c>
      <c r="D150" s="451">
        <v>0</v>
      </c>
      <c r="E150" s="148">
        <v>1</v>
      </c>
      <c r="F150" s="1189">
        <v>1736.0289977940199</v>
      </c>
      <c r="G150" s="142">
        <f t="shared" ref="G150:G156" si="16">F150/$F$146</f>
        <v>0.23981628520313017</v>
      </c>
      <c r="H150" s="141">
        <f t="shared" si="15"/>
        <v>6.9463155058601691</v>
      </c>
    </row>
    <row r="151" spans="1:8" x14ac:dyDescent="0.25">
      <c r="A151" s="16" t="s">
        <v>403</v>
      </c>
      <c r="B151" s="137">
        <v>581.04532237000001</v>
      </c>
      <c r="C151" s="139">
        <f t="shared" si="14"/>
        <v>0.11552451217144716</v>
      </c>
      <c r="D151" s="452">
        <v>0</v>
      </c>
      <c r="E151" s="149">
        <v>1</v>
      </c>
      <c r="F151" s="1188">
        <v>908.14456523079605</v>
      </c>
      <c r="G151" s="139">
        <f t="shared" si="16"/>
        <v>0.12545173861600542</v>
      </c>
      <c r="H151" s="138">
        <f t="shared" si="15"/>
        <v>1.5629496190187118</v>
      </c>
    </row>
    <row r="152" spans="1:8" x14ac:dyDescent="0.25">
      <c r="A152" s="116" t="s">
        <v>404</v>
      </c>
      <c r="B152" s="140">
        <v>74.197757019999997</v>
      </c>
      <c r="C152" s="142">
        <f t="shared" si="14"/>
        <v>1.4752136113906753E-2</v>
      </c>
      <c r="D152" s="260">
        <v>0</v>
      </c>
      <c r="E152" s="148">
        <v>1</v>
      </c>
      <c r="F152" s="1189">
        <v>2465.95771991425</v>
      </c>
      <c r="G152" s="142">
        <f t="shared" si="16"/>
        <v>0.34064916001361822</v>
      </c>
      <c r="H152" s="141">
        <f t="shared" si="15"/>
        <v>33.234936188833196</v>
      </c>
    </row>
    <row r="153" spans="1:8" x14ac:dyDescent="0.25">
      <c r="A153" s="16" t="s">
        <v>254</v>
      </c>
      <c r="B153" s="137">
        <v>45.095757849999998</v>
      </c>
      <c r="C153" s="139">
        <f t="shared" si="14"/>
        <v>8.9660224874945817E-3</v>
      </c>
      <c r="D153" s="88">
        <v>0</v>
      </c>
      <c r="E153" s="88">
        <v>1</v>
      </c>
      <c r="F153" s="1188">
        <v>51.296390607716901</v>
      </c>
      <c r="G153" s="139">
        <f t="shared" si="16"/>
        <v>7.0861200219024248E-3</v>
      </c>
      <c r="H153" s="138">
        <f t="shared" si="15"/>
        <v>1.1374992472316752</v>
      </c>
    </row>
    <row r="154" spans="1:8" x14ac:dyDescent="0.25">
      <c r="A154" s="116" t="s">
        <v>255</v>
      </c>
      <c r="B154" s="140">
        <v>840.48474369999997</v>
      </c>
      <c r="C154" s="142">
        <f t="shared" si="14"/>
        <v>0.16710674067118089</v>
      </c>
      <c r="D154" s="155">
        <v>0</v>
      </c>
      <c r="E154" s="155">
        <v>1</v>
      </c>
      <c r="F154" s="1189">
        <v>0</v>
      </c>
      <c r="G154" s="142">
        <f t="shared" si="16"/>
        <v>0</v>
      </c>
      <c r="H154" s="141">
        <f t="shared" si="15"/>
        <v>0</v>
      </c>
    </row>
    <row r="155" spans="1:8" x14ac:dyDescent="0.25">
      <c r="A155" s="118" t="s">
        <v>405</v>
      </c>
      <c r="B155" s="137">
        <v>1226.16791478</v>
      </c>
      <c r="C155" s="139">
        <f t="shared" si="14"/>
        <v>0.24378898640378036</v>
      </c>
      <c r="D155" s="88">
        <v>0</v>
      </c>
      <c r="E155" s="88">
        <v>1</v>
      </c>
      <c r="F155" s="1188">
        <v>154.77044317231201</v>
      </c>
      <c r="G155" s="139">
        <f t="shared" si="16"/>
        <v>2.1380099519069155E-2</v>
      </c>
      <c r="H155" s="138">
        <f t="shared" si="15"/>
        <v>0.12622287804691174</v>
      </c>
    </row>
    <row r="156" spans="1:8" x14ac:dyDescent="0.25">
      <c r="A156" s="143" t="s">
        <v>406</v>
      </c>
      <c r="B156" s="144">
        <v>1852.9486153299999</v>
      </c>
      <c r="C156" s="146">
        <f t="shared" si="14"/>
        <v>0.3684066915669037</v>
      </c>
      <c r="D156" s="150">
        <v>0</v>
      </c>
      <c r="E156" s="150">
        <v>1</v>
      </c>
      <c r="F156" s="1190">
        <v>1525.8569940590701</v>
      </c>
      <c r="G156" s="146">
        <f t="shared" si="16"/>
        <v>0.21078297455367617</v>
      </c>
      <c r="H156" s="145">
        <f t="shared" si="15"/>
        <v>0.82347507180458068</v>
      </c>
    </row>
    <row r="157" spans="1:8" ht="18.75" customHeight="1" x14ac:dyDescent="0.25">
      <c r="A157" s="274" t="s">
        <v>24</v>
      </c>
      <c r="B157" s="275">
        <f>SUM(B158:B167)</f>
        <v>12364.459521916</v>
      </c>
      <c r="C157" s="276">
        <f>B157/$B$157</f>
        <v>1</v>
      </c>
      <c r="D157" s="269">
        <v>0</v>
      </c>
      <c r="E157" s="269">
        <v>1</v>
      </c>
      <c r="F157" s="275">
        <f>SUM(F158:F167)</f>
        <v>115150.34886474028</v>
      </c>
      <c r="G157" s="276">
        <f>F157/$F$157</f>
        <v>1</v>
      </c>
      <c r="H157" s="277">
        <f>F157/B157</f>
        <v>9.3130111074112332</v>
      </c>
    </row>
    <row r="158" spans="1:8" x14ac:dyDescent="0.25">
      <c r="A158" s="945" t="s">
        <v>399</v>
      </c>
      <c r="B158" s="137">
        <v>3046.6488917510001</v>
      </c>
      <c r="C158" s="457">
        <f>B158/$B$157</f>
        <v>0.2464037256420967</v>
      </c>
      <c r="D158" s="147">
        <v>0</v>
      </c>
      <c r="E158" s="147">
        <v>1</v>
      </c>
      <c r="F158" s="1188">
        <v>75572.085720399104</v>
      </c>
      <c r="G158" s="457">
        <f>F158/$F$157</f>
        <v>0.65629054940310061</v>
      </c>
      <c r="H158" s="138">
        <f>F158/B158</f>
        <v>24.804986857860595</v>
      </c>
    </row>
    <row r="159" spans="1:8" ht="18.75" customHeight="1" x14ac:dyDescent="0.25">
      <c r="A159" s="101" t="s">
        <v>400</v>
      </c>
      <c r="B159" s="140">
        <v>743.62626979599997</v>
      </c>
      <c r="C159" s="458">
        <f t="shared" ref="C159:C167" si="17">B159/$B$157</f>
        <v>6.014223820118645E-2</v>
      </c>
      <c r="D159" s="260">
        <v>0</v>
      </c>
      <c r="E159" s="152">
        <v>1</v>
      </c>
      <c r="F159" s="1189">
        <v>6655.6489836184801</v>
      </c>
      <c r="G159" s="458">
        <f t="shared" ref="G159:G167" si="18">F159/$F$157</f>
        <v>5.7799642373957925E-2</v>
      </c>
      <c r="H159" s="141">
        <f t="shared" ref="H159:H167" si="19">F159/B159</f>
        <v>8.950260707498046</v>
      </c>
    </row>
    <row r="160" spans="1:8" x14ac:dyDescent="0.25">
      <c r="A160" s="945" t="s">
        <v>401</v>
      </c>
      <c r="B160" s="137">
        <v>939.53398262400003</v>
      </c>
      <c r="C160" s="457">
        <f t="shared" si="17"/>
        <v>7.5986660068616541E-2</v>
      </c>
      <c r="D160" s="153">
        <v>0</v>
      </c>
      <c r="E160" s="154">
        <v>1</v>
      </c>
      <c r="F160" s="1188">
        <v>883.33084745303699</v>
      </c>
      <c r="G160" s="457">
        <f t="shared" si="18"/>
        <v>7.6711087388074608E-3</v>
      </c>
      <c r="H160" s="138">
        <f t="shared" si="19"/>
        <v>0.94017977400456043</v>
      </c>
    </row>
    <row r="161" spans="1:8" x14ac:dyDescent="0.25">
      <c r="A161" s="101" t="s">
        <v>402</v>
      </c>
      <c r="B161" s="140">
        <v>745.04187069900001</v>
      </c>
      <c r="C161" s="458">
        <f t="shared" si="17"/>
        <v>6.0256727710452165E-2</v>
      </c>
      <c r="D161" s="451">
        <v>0</v>
      </c>
      <c r="E161" s="148">
        <v>1</v>
      </c>
      <c r="F161" s="1189">
        <v>5106.3936769642996</v>
      </c>
      <c r="G161" s="458">
        <f t="shared" si="18"/>
        <v>4.4345446864103313E-2</v>
      </c>
      <c r="H161" s="141">
        <f t="shared" si="19"/>
        <v>6.8538344994939271</v>
      </c>
    </row>
    <row r="162" spans="1:8" x14ac:dyDescent="0.25">
      <c r="A162" s="16" t="s">
        <v>403</v>
      </c>
      <c r="B162" s="137">
        <v>1679.8139829009999</v>
      </c>
      <c r="C162" s="457">
        <f t="shared" si="17"/>
        <v>0.13585826213620825</v>
      </c>
      <c r="D162" s="452">
        <v>0</v>
      </c>
      <c r="E162" s="149">
        <v>1</v>
      </c>
      <c r="F162" s="1188">
        <v>2931.5677471408699</v>
      </c>
      <c r="G162" s="457">
        <f t="shared" si="18"/>
        <v>2.5458609340249537E-2</v>
      </c>
      <c r="H162" s="138">
        <f t="shared" si="19"/>
        <v>1.7451740353286738</v>
      </c>
    </row>
    <row r="163" spans="1:8" x14ac:dyDescent="0.25">
      <c r="A163" s="116" t="s">
        <v>404</v>
      </c>
      <c r="B163" s="140">
        <v>495.07042876700001</v>
      </c>
      <c r="C163" s="458">
        <f t="shared" si="17"/>
        <v>4.0039795341598863E-2</v>
      </c>
      <c r="D163" s="260">
        <v>0</v>
      </c>
      <c r="E163" s="148">
        <v>1</v>
      </c>
      <c r="F163" s="1189">
        <v>22705.010491762099</v>
      </c>
      <c r="G163" s="458">
        <f t="shared" si="18"/>
        <v>0.19717708817740723</v>
      </c>
      <c r="H163" s="141">
        <f t="shared" si="19"/>
        <v>45.862182777327604</v>
      </c>
    </row>
    <row r="164" spans="1:8" x14ac:dyDescent="0.25">
      <c r="A164" s="16" t="s">
        <v>254</v>
      </c>
      <c r="B164" s="137">
        <v>74.408313664000005</v>
      </c>
      <c r="C164" s="457">
        <f t="shared" si="17"/>
        <v>6.0179188206416377E-3</v>
      </c>
      <c r="D164" s="88">
        <v>0</v>
      </c>
      <c r="E164" s="88">
        <v>1</v>
      </c>
      <c r="F164" s="1188">
        <v>53.018271207582004</v>
      </c>
      <c r="G164" s="457">
        <f t="shared" si="18"/>
        <v>4.6042649223632971E-4</v>
      </c>
      <c r="H164" s="138">
        <f t="shared" si="19"/>
        <v>0.71253155187728889</v>
      </c>
    </row>
    <row r="165" spans="1:8" x14ac:dyDescent="0.25">
      <c r="A165" s="116" t="s">
        <v>255</v>
      </c>
      <c r="B165" s="140">
        <v>1098.7765266880001</v>
      </c>
      <c r="C165" s="458">
        <f t="shared" si="17"/>
        <v>8.8865714246580615E-2</v>
      </c>
      <c r="D165" s="155">
        <v>0</v>
      </c>
      <c r="E165" s="155">
        <v>1</v>
      </c>
      <c r="F165" s="1189">
        <v>116.239141693192</v>
      </c>
      <c r="G165" s="458">
        <f t="shared" si="18"/>
        <v>1.0094554019087745E-3</v>
      </c>
      <c r="H165" s="141">
        <f t="shared" si="19"/>
        <v>0.10578961132667002</v>
      </c>
    </row>
    <row r="166" spans="1:8" x14ac:dyDescent="0.25">
      <c r="A166" s="118" t="s">
        <v>405</v>
      </c>
      <c r="B166" s="137">
        <v>2169.6155703029999</v>
      </c>
      <c r="C166" s="457">
        <f t="shared" si="17"/>
        <v>0.17547192956209345</v>
      </c>
      <c r="D166" s="88">
        <v>0</v>
      </c>
      <c r="E166" s="88">
        <v>1</v>
      </c>
      <c r="F166" s="1188">
        <v>553.62694359812201</v>
      </c>
      <c r="G166" s="457">
        <f t="shared" si="18"/>
        <v>4.8078616266150611E-3</v>
      </c>
      <c r="H166" s="138">
        <f t="shared" si="19"/>
        <v>0.25517282931409119</v>
      </c>
    </row>
    <row r="167" spans="1:8" x14ac:dyDescent="0.25">
      <c r="A167" s="143" t="s">
        <v>406</v>
      </c>
      <c r="B167" s="144">
        <v>1371.923684723</v>
      </c>
      <c r="C167" s="459">
        <f t="shared" si="17"/>
        <v>0.11095702827052535</v>
      </c>
      <c r="D167" s="150">
        <v>0</v>
      </c>
      <c r="E167" s="150">
        <v>1</v>
      </c>
      <c r="F167" s="1190">
        <v>573.42704090350196</v>
      </c>
      <c r="G167" s="459">
        <f t="shared" si="18"/>
        <v>4.9798115816137899E-3</v>
      </c>
      <c r="H167" s="145">
        <f t="shared" si="19"/>
        <v>0.41797298733805338</v>
      </c>
    </row>
    <row r="168" spans="1:8" ht="18.75" customHeight="1" x14ac:dyDescent="0.25">
      <c r="A168" s="274" t="s">
        <v>25</v>
      </c>
      <c r="B168" s="275">
        <f>SUM(B169:B178)</f>
        <v>3430.76746267</v>
      </c>
      <c r="C168" s="276">
        <f>B168/$B$168</f>
        <v>1</v>
      </c>
      <c r="D168" s="269">
        <v>0</v>
      </c>
      <c r="E168" s="269">
        <v>1</v>
      </c>
      <c r="F168" s="275">
        <f>SUM(F169:F178)</f>
        <v>15856.658536131114</v>
      </c>
      <c r="G168" s="276">
        <f>F168/$F$168</f>
        <v>1</v>
      </c>
      <c r="H168" s="277">
        <f>F168/B168</f>
        <v>4.6218983678336061</v>
      </c>
    </row>
    <row r="169" spans="1:8" x14ac:dyDescent="0.25">
      <c r="A169" s="945" t="s">
        <v>399</v>
      </c>
      <c r="B169" s="137">
        <v>7.4584264500000002</v>
      </c>
      <c r="C169" s="139">
        <f t="shared" ref="C169:C178" si="20">B169/$B$168</f>
        <v>2.17398192420639E-3</v>
      </c>
      <c r="D169" s="147">
        <v>0</v>
      </c>
      <c r="E169" s="147">
        <v>1</v>
      </c>
      <c r="F169" s="1188">
        <v>186.05699512740901</v>
      </c>
      <c r="G169" s="139">
        <f t="shared" ref="G169:G178" si="21">F169/$F$168</f>
        <v>1.1733682396165497E-2</v>
      </c>
      <c r="H169" s="138">
        <f t="shared" ref="H169:H178" si="22">F169/B169</f>
        <v>24.945877843631347</v>
      </c>
    </row>
    <row r="170" spans="1:8" ht="18.75" customHeight="1" x14ac:dyDescent="0.25">
      <c r="A170" s="101" t="s">
        <v>400</v>
      </c>
      <c r="B170" s="140">
        <v>245.14256277999999</v>
      </c>
      <c r="C170" s="142">
        <f t="shared" si="20"/>
        <v>7.1454147052338379E-2</v>
      </c>
      <c r="D170" s="260">
        <v>0</v>
      </c>
      <c r="E170" s="152">
        <v>1</v>
      </c>
      <c r="F170" s="1189">
        <v>2283.45387285589</v>
      </c>
      <c r="G170" s="142">
        <f t="shared" si="21"/>
        <v>0.1440059939269546</v>
      </c>
      <c r="H170" s="141">
        <f t="shared" si="22"/>
        <v>9.3147997106693623</v>
      </c>
    </row>
    <row r="171" spans="1:8" x14ac:dyDescent="0.25">
      <c r="A171" s="945" t="s">
        <v>401</v>
      </c>
      <c r="B171" s="137">
        <v>5.4555230999999997</v>
      </c>
      <c r="C171" s="139">
        <f t="shared" si="20"/>
        <v>1.5901757141401332E-3</v>
      </c>
      <c r="D171" s="153">
        <v>0</v>
      </c>
      <c r="E171" s="154">
        <v>1</v>
      </c>
      <c r="F171" s="1188">
        <v>18.2072659909058</v>
      </c>
      <c r="G171" s="139">
        <f t="shared" si="21"/>
        <v>1.1482410338482458E-3</v>
      </c>
      <c r="H171" s="138">
        <f t="shared" si="22"/>
        <v>3.3374005860053639</v>
      </c>
    </row>
    <row r="172" spans="1:8" x14ac:dyDescent="0.25">
      <c r="A172" s="101" t="s">
        <v>402</v>
      </c>
      <c r="B172" s="140">
        <v>439.12157823000001</v>
      </c>
      <c r="C172" s="142">
        <f t="shared" si="20"/>
        <v>0.1279951448205274</v>
      </c>
      <c r="D172" s="451">
        <v>0</v>
      </c>
      <c r="E172" s="148">
        <v>1</v>
      </c>
      <c r="F172" s="1189">
        <v>3050.27702781684</v>
      </c>
      <c r="G172" s="142">
        <f t="shared" si="21"/>
        <v>0.19236568794531669</v>
      </c>
      <c r="H172" s="141">
        <f t="shared" si="22"/>
        <v>6.9463155058601727</v>
      </c>
    </row>
    <row r="173" spans="1:8" x14ac:dyDescent="0.25">
      <c r="A173" s="16" t="s">
        <v>403</v>
      </c>
      <c r="B173" s="137">
        <v>1334.7486159099999</v>
      </c>
      <c r="C173" s="139">
        <f t="shared" si="20"/>
        <v>0.38905248765278594</v>
      </c>
      <c r="D173" s="452">
        <v>0</v>
      </c>
      <c r="E173" s="149">
        <v>1</v>
      </c>
      <c r="F173" s="1188">
        <v>2086.1448407222902</v>
      </c>
      <c r="G173" s="139">
        <f t="shared" si="21"/>
        <v>0.13156270193803968</v>
      </c>
      <c r="H173" s="138">
        <f t="shared" si="22"/>
        <v>1.562949619018714</v>
      </c>
    </row>
    <row r="174" spans="1:8" x14ac:dyDescent="0.25">
      <c r="A174" s="116" t="s">
        <v>404</v>
      </c>
      <c r="B174" s="140">
        <v>100.51849702</v>
      </c>
      <c r="C174" s="142">
        <f t="shared" si="20"/>
        <v>2.9299128580918547E-2</v>
      </c>
      <c r="D174" s="260">
        <v>0</v>
      </c>
      <c r="E174" s="148">
        <v>1</v>
      </c>
      <c r="F174" s="1189">
        <v>6691.3586886773101</v>
      </c>
      <c r="G174" s="142">
        <f t="shared" si="21"/>
        <v>0.42199046371783339</v>
      </c>
      <c r="H174" s="141">
        <f t="shared" si="22"/>
        <v>66.568431552910525</v>
      </c>
    </row>
    <row r="175" spans="1:8" x14ac:dyDescent="0.25">
      <c r="A175" s="16" t="s">
        <v>254</v>
      </c>
      <c r="B175" s="137">
        <v>28.504034610000001</v>
      </c>
      <c r="C175" s="139">
        <f t="shared" si="20"/>
        <v>8.3083551771289954E-3</v>
      </c>
      <c r="D175" s="88">
        <v>0</v>
      </c>
      <c r="E175" s="88">
        <v>1</v>
      </c>
      <c r="F175" s="1188">
        <v>18.972132138177599</v>
      </c>
      <c r="G175" s="139">
        <f t="shared" si="21"/>
        <v>1.1964773091977445E-3</v>
      </c>
      <c r="H175" s="138">
        <f t="shared" si="22"/>
        <v>0.66559462187579765</v>
      </c>
    </row>
    <row r="176" spans="1:8" x14ac:dyDescent="0.25">
      <c r="A176" s="116" t="s">
        <v>255</v>
      </c>
      <c r="B176" s="140">
        <v>32.975503860000003</v>
      </c>
      <c r="C176" s="142">
        <f t="shared" si="20"/>
        <v>9.6116989037597928E-3</v>
      </c>
      <c r="D176" s="155">
        <v>0</v>
      </c>
      <c r="E176" s="155">
        <v>1</v>
      </c>
      <c r="F176" s="1189">
        <v>0</v>
      </c>
      <c r="G176" s="142">
        <f t="shared" si="21"/>
        <v>0</v>
      </c>
      <c r="H176" s="141">
        <f t="shared" si="22"/>
        <v>0</v>
      </c>
    </row>
    <row r="177" spans="1:10" x14ac:dyDescent="0.25">
      <c r="A177" s="118" t="s">
        <v>405</v>
      </c>
      <c r="B177" s="137">
        <v>22.810489319999999</v>
      </c>
      <c r="C177" s="139">
        <f t="shared" si="20"/>
        <v>6.6488007619868528E-3</v>
      </c>
      <c r="D177" s="88">
        <v>0</v>
      </c>
      <c r="E177" s="88">
        <v>1</v>
      </c>
      <c r="F177" s="1188">
        <v>2.8792056116287301</v>
      </c>
      <c r="G177" s="139">
        <f t="shared" si="21"/>
        <v>1.8157707092374779E-4</v>
      </c>
      <c r="H177" s="138">
        <f t="shared" si="22"/>
        <v>0.12622287804691121</v>
      </c>
    </row>
    <row r="178" spans="1:10" x14ac:dyDescent="0.25">
      <c r="A178" s="143" t="s">
        <v>406</v>
      </c>
      <c r="B178" s="144">
        <v>1214.0322313900001</v>
      </c>
      <c r="C178" s="146">
        <f t="shared" si="20"/>
        <v>0.3538660794122076</v>
      </c>
      <c r="D178" s="150">
        <v>0</v>
      </c>
      <c r="E178" s="150">
        <v>1</v>
      </c>
      <c r="F178" s="1190">
        <v>1519.3085071906601</v>
      </c>
      <c r="G178" s="146">
        <f t="shared" si="21"/>
        <v>9.5815174661720251E-2</v>
      </c>
      <c r="H178" s="145">
        <f t="shared" si="22"/>
        <v>1.251456483532678</v>
      </c>
    </row>
    <row r="179" spans="1:10" x14ac:dyDescent="0.25">
      <c r="A179" s="1524"/>
      <c r="B179" s="1524"/>
      <c r="C179" s="1524"/>
      <c r="D179" s="1524"/>
      <c r="E179" s="1524"/>
      <c r="F179" s="1524"/>
      <c r="G179" s="1524"/>
      <c r="H179" s="1524"/>
    </row>
    <row r="180" spans="1:10" ht="195" customHeight="1" x14ac:dyDescent="0.25">
      <c r="A180" s="1525" t="s">
        <v>407</v>
      </c>
      <c r="B180" s="1525"/>
      <c r="C180" s="1525"/>
      <c r="D180" s="1525"/>
      <c r="E180" s="1525"/>
      <c r="F180" s="1525"/>
      <c r="G180" s="1525"/>
      <c r="H180" s="1525"/>
      <c r="I180" s="28"/>
      <c r="J180" s="28"/>
    </row>
    <row r="181" spans="1:10" x14ac:dyDescent="0.25"/>
    <row r="182" spans="1:10" ht="15.75" customHeight="1" x14ac:dyDescent="0.25"/>
    <row r="183" spans="1:10" ht="15.75" customHeight="1" x14ac:dyDescent="0.25">
      <c r="A183" s="1522" t="s">
        <v>408</v>
      </c>
      <c r="B183" s="1522"/>
      <c r="C183" s="1522"/>
      <c r="D183" s="1522"/>
      <c r="E183" s="1522"/>
      <c r="F183" s="1522"/>
      <c r="G183" s="1522"/>
      <c r="H183" s="1522"/>
      <c r="I183" s="1522"/>
      <c r="J183" s="453"/>
    </row>
    <row r="184" spans="1:10" ht="15.75" customHeight="1" x14ac:dyDescent="0.25">
      <c r="A184" s="1523"/>
      <c r="B184" s="1523"/>
      <c r="C184" s="1523"/>
      <c r="D184" s="1523"/>
      <c r="E184" s="1523"/>
      <c r="F184" s="1523"/>
      <c r="G184" s="1523"/>
      <c r="H184" s="1523"/>
      <c r="I184" s="1523"/>
      <c r="J184" s="453"/>
    </row>
    <row r="185" spans="1:10" ht="68.25" customHeight="1" x14ac:dyDescent="0.25">
      <c r="A185" s="1528" t="s">
        <v>237</v>
      </c>
      <c r="B185" s="1529"/>
      <c r="C185" s="508" t="s">
        <v>409</v>
      </c>
      <c r="D185" s="508" t="s">
        <v>410</v>
      </c>
      <c r="E185" s="508" t="s">
        <v>411</v>
      </c>
      <c r="F185" s="508" t="s">
        <v>412</v>
      </c>
      <c r="G185" s="508" t="s">
        <v>413</v>
      </c>
      <c r="H185" s="508" t="s">
        <v>414</v>
      </c>
      <c r="I185" s="509" t="s">
        <v>415</v>
      </c>
    </row>
    <row r="186" spans="1:10" x14ac:dyDescent="0.25">
      <c r="A186" s="1030" t="s">
        <v>416</v>
      </c>
      <c r="B186" s="1031" t="s">
        <v>417</v>
      </c>
      <c r="C186" s="1032">
        <v>73112929551</v>
      </c>
      <c r="D186" s="1230">
        <v>89.17</v>
      </c>
      <c r="E186" s="1032">
        <v>176499.016</v>
      </c>
      <c r="F186" s="1032">
        <v>145313.62100000001</v>
      </c>
      <c r="G186" s="1032">
        <v>321812.63699999999</v>
      </c>
      <c r="H186" s="1239">
        <v>4.6970000000000001</v>
      </c>
      <c r="I186" s="1033">
        <v>3.7</v>
      </c>
    </row>
    <row r="187" spans="1:10" ht="15.75" customHeight="1" x14ac:dyDescent="0.25">
      <c r="A187" s="1034"/>
      <c r="B187" s="1035" t="s">
        <v>418</v>
      </c>
      <c r="C187" s="1036">
        <v>12591153380</v>
      </c>
      <c r="D187" s="1231">
        <v>78.63</v>
      </c>
      <c r="E187" s="1238">
        <v>81072.012000000002</v>
      </c>
      <c r="F187" s="1238">
        <v>19234.136999999999</v>
      </c>
      <c r="G187" s="1238">
        <v>100306.149</v>
      </c>
      <c r="H187" s="1223">
        <v>8.3580000000000005</v>
      </c>
      <c r="I187" s="965">
        <v>2.1</v>
      </c>
    </row>
    <row r="188" spans="1:10" ht="15.75" customHeight="1" x14ac:dyDescent="0.25">
      <c r="A188" s="1034"/>
      <c r="B188" s="1038" t="s">
        <v>419</v>
      </c>
      <c r="C188" s="1039">
        <v>5629039221</v>
      </c>
      <c r="D188" s="1232">
        <v>71.08</v>
      </c>
      <c r="E188" s="1040">
        <v>35642.641000000003</v>
      </c>
      <c r="F188" s="1040">
        <v>10446.861000000001</v>
      </c>
      <c r="G188" s="1040">
        <v>46089.502</v>
      </c>
      <c r="H188" s="1240">
        <v>8.6419999999999995</v>
      </c>
      <c r="I188" s="1042">
        <v>2.2999999999999998</v>
      </c>
    </row>
    <row r="189" spans="1:10" ht="15.75" customHeight="1" x14ac:dyDescent="0.25">
      <c r="A189" s="1037"/>
      <c r="B189" s="1043" t="s">
        <v>420</v>
      </c>
      <c r="C189" s="1036">
        <v>35384291812</v>
      </c>
      <c r="D189" s="1233">
        <v>100</v>
      </c>
      <c r="E189" s="1044">
        <v>71.012</v>
      </c>
      <c r="F189" s="1044">
        <v>97184.157000000007</v>
      </c>
      <c r="G189" s="1044">
        <v>97255.17</v>
      </c>
      <c r="H189" s="1241">
        <v>2.7450000000000001</v>
      </c>
      <c r="I189" s="1046">
        <v>4.3</v>
      </c>
    </row>
    <row r="190" spans="1:10" ht="15.75" customHeight="1" x14ac:dyDescent="0.25">
      <c r="A190" s="1034"/>
      <c r="B190" s="1047" t="s">
        <v>421</v>
      </c>
      <c r="C190" s="1039">
        <v>1055190872</v>
      </c>
      <c r="D190" s="1232">
        <v>0</v>
      </c>
      <c r="E190" s="1040">
        <v>5729.0739999999996</v>
      </c>
      <c r="F190" s="1040">
        <v>1211.1880000000001</v>
      </c>
      <c r="G190" s="1040">
        <v>6940.2629999999999</v>
      </c>
      <c r="H190" s="1041"/>
      <c r="I190" s="1042"/>
    </row>
    <row r="191" spans="1:10" ht="15.75" customHeight="1" x14ac:dyDescent="0.25">
      <c r="A191" s="1037"/>
      <c r="B191" s="1043" t="s">
        <v>422</v>
      </c>
      <c r="C191" s="1036">
        <v>4177622112</v>
      </c>
      <c r="D191" s="1233">
        <v>0</v>
      </c>
      <c r="E191" s="1043"/>
      <c r="F191" s="1043"/>
      <c r="G191" s="1043"/>
      <c r="H191" s="1045"/>
      <c r="I191" s="1046"/>
    </row>
    <row r="192" spans="1:10" ht="15.75" customHeight="1" x14ac:dyDescent="0.25">
      <c r="A192" s="1034"/>
      <c r="B192" s="1047" t="s">
        <v>423</v>
      </c>
      <c r="C192" s="1049">
        <v>299648525</v>
      </c>
      <c r="D192" s="1235">
        <v>0</v>
      </c>
      <c r="E192" s="1050"/>
      <c r="F192" s="1048"/>
      <c r="G192" s="1048"/>
      <c r="H192" s="1051"/>
      <c r="I192" s="1052"/>
    </row>
    <row r="193" spans="1:9" ht="15.75" customHeight="1" x14ac:dyDescent="0.25">
      <c r="A193" s="1037"/>
      <c r="B193" s="1053" t="s">
        <v>424</v>
      </c>
      <c r="C193" s="1054">
        <v>3877973211</v>
      </c>
      <c r="D193" s="1236">
        <v>0</v>
      </c>
      <c r="E193" s="1055"/>
      <c r="F193" s="1055"/>
      <c r="G193" s="1055"/>
      <c r="H193" s="1056"/>
      <c r="I193" s="1057"/>
    </row>
    <row r="194" spans="1:9" ht="15.75" customHeight="1" x14ac:dyDescent="0.25">
      <c r="A194" s="1058"/>
      <c r="B194" s="1059" t="s">
        <v>425</v>
      </c>
      <c r="C194" s="1060">
        <v>14275632155</v>
      </c>
      <c r="D194" s="1237">
        <v>84.71</v>
      </c>
      <c r="E194" s="1060">
        <v>53984.275999999998</v>
      </c>
      <c r="F194" s="1060">
        <v>17237.277999999998</v>
      </c>
      <c r="G194" s="1060">
        <v>71221.554000000004</v>
      </c>
      <c r="H194" s="1228">
        <v>6.3550000000000004</v>
      </c>
      <c r="I194" s="1061"/>
    </row>
    <row r="195" spans="1:9" ht="15.75" customHeight="1" x14ac:dyDescent="0.25">
      <c r="A195" s="1062"/>
      <c r="B195" s="1063"/>
      <c r="C195" s="1062"/>
      <c r="D195" s="1062"/>
      <c r="E195" s="1062"/>
      <c r="F195" s="1062"/>
      <c r="G195" s="1062"/>
      <c r="H195" s="1064"/>
      <c r="I195" s="1065"/>
    </row>
    <row r="196" spans="1:9" x14ac:dyDescent="0.25">
      <c r="A196" s="1066" t="s">
        <v>426</v>
      </c>
      <c r="B196" s="1067" t="s">
        <v>417</v>
      </c>
      <c r="C196" s="1068">
        <v>35385219648</v>
      </c>
      <c r="D196" s="1244">
        <v>87.28</v>
      </c>
      <c r="E196" s="1068">
        <v>30861.495999999999</v>
      </c>
      <c r="F196" s="1068">
        <v>84321.42</v>
      </c>
      <c r="G196" s="1068">
        <v>115182.916</v>
      </c>
      <c r="H196" s="1260">
        <v>3.077</v>
      </c>
      <c r="I196" s="1069">
        <v>4.2</v>
      </c>
    </row>
    <row r="197" spans="1:9" ht="15.75" customHeight="1" x14ac:dyDescent="0.25">
      <c r="A197" s="1070"/>
      <c r="B197" s="1071" t="s">
        <v>418</v>
      </c>
      <c r="C197" s="1036">
        <v>2540692754</v>
      </c>
      <c r="D197" s="1245">
        <v>0</v>
      </c>
      <c r="E197" s="1257">
        <v>14268.165999999999</v>
      </c>
      <c r="F197" s="1257">
        <v>2465.5819999999999</v>
      </c>
      <c r="G197" s="1257">
        <v>16733.749</v>
      </c>
      <c r="H197" s="1261"/>
      <c r="I197" s="965">
        <v>2</v>
      </c>
    </row>
    <row r="198" spans="1:9" ht="15.75" customHeight="1" x14ac:dyDescent="0.25">
      <c r="A198" s="1073"/>
      <c r="B198" s="1038" t="s">
        <v>419</v>
      </c>
      <c r="C198" s="1074">
        <v>2236544792</v>
      </c>
      <c r="D198" s="1246">
        <v>63.11</v>
      </c>
      <c r="E198" s="1076">
        <v>12049.509</v>
      </c>
      <c r="F198" s="1076">
        <v>1132.4549999999999</v>
      </c>
      <c r="G198" s="1076">
        <v>13181.964</v>
      </c>
      <c r="H198" s="1262">
        <v>5.7629999999999999</v>
      </c>
      <c r="I198" s="1075">
        <v>2.2999999999999998</v>
      </c>
    </row>
    <row r="199" spans="1:9" ht="15.75" customHeight="1" x14ac:dyDescent="0.25">
      <c r="A199" s="1070"/>
      <c r="B199" s="1043" t="s">
        <v>420</v>
      </c>
      <c r="C199" s="1036">
        <v>27228587103</v>
      </c>
      <c r="D199" s="1233">
        <v>100</v>
      </c>
      <c r="E199" s="1044">
        <v>6.0910000000000002</v>
      </c>
      <c r="F199" s="1044">
        <v>79965.475000000006</v>
      </c>
      <c r="G199" s="1044">
        <v>79971.566999999995</v>
      </c>
      <c r="H199" s="1227">
        <v>2.9350000000000001</v>
      </c>
      <c r="I199" s="965">
        <v>4.4000000000000004</v>
      </c>
    </row>
    <row r="200" spans="1:9" ht="15.75" customHeight="1" x14ac:dyDescent="0.25">
      <c r="A200" s="1073"/>
      <c r="B200" s="1047" t="s">
        <v>421</v>
      </c>
      <c r="C200" s="1074">
        <v>805674209</v>
      </c>
      <c r="D200" s="1246">
        <v>0</v>
      </c>
      <c r="E200" s="1076">
        <v>4508.7749999999996</v>
      </c>
      <c r="F200" s="1076">
        <v>749.90800000000002</v>
      </c>
      <c r="G200" s="1076">
        <v>5258.683</v>
      </c>
      <c r="H200" s="1262"/>
      <c r="I200" s="1075"/>
    </row>
    <row r="201" spans="1:9" ht="15.75" customHeight="1" x14ac:dyDescent="0.25">
      <c r="A201" s="1070"/>
      <c r="B201" s="1043" t="s">
        <v>422</v>
      </c>
      <c r="C201" s="1077">
        <v>2568471238</v>
      </c>
      <c r="D201" s="1247">
        <v>0</v>
      </c>
      <c r="E201" s="1078"/>
      <c r="F201" s="1043"/>
      <c r="G201" s="1043"/>
      <c r="H201" s="1227"/>
      <c r="I201" s="965"/>
    </row>
    <row r="202" spans="1:9" ht="15.75" customHeight="1" x14ac:dyDescent="0.25">
      <c r="A202" s="1073"/>
      <c r="B202" s="1047" t="s">
        <v>423</v>
      </c>
      <c r="C202" s="1079">
        <v>0</v>
      </c>
      <c r="D202" s="1248"/>
      <c r="E202" s="1080"/>
      <c r="F202" s="1081"/>
      <c r="G202" s="1081"/>
      <c r="H202" s="1262"/>
      <c r="I202" s="1061"/>
    </row>
    <row r="203" spans="1:9" ht="15.75" customHeight="1" x14ac:dyDescent="0.25">
      <c r="A203" s="1070"/>
      <c r="B203" s="1053" t="s">
        <v>424</v>
      </c>
      <c r="C203" s="1082">
        <v>2568470863</v>
      </c>
      <c r="D203" s="1249">
        <v>0</v>
      </c>
      <c r="E203" s="1083"/>
      <c r="F203" s="1072"/>
      <c r="G203" s="1072"/>
      <c r="H203" s="1261"/>
      <c r="I203" s="965"/>
    </row>
    <row r="204" spans="1:9" ht="15.75" customHeight="1" x14ac:dyDescent="0.25">
      <c r="A204" s="1073"/>
      <c r="B204" s="1084" t="s">
        <v>425</v>
      </c>
      <c r="C204" s="1085">
        <v>5249551</v>
      </c>
      <c r="D204" s="1250">
        <v>85.45</v>
      </c>
      <c r="E204" s="1081">
        <v>28.954000000000001</v>
      </c>
      <c r="F204" s="1081">
        <v>7.9989999999999997</v>
      </c>
      <c r="G204" s="1081">
        <v>36.953000000000003</v>
      </c>
      <c r="H204" s="1262">
        <v>6.9539999999999997</v>
      </c>
      <c r="I204" s="1086"/>
    </row>
    <row r="205" spans="1:9" ht="15.75" customHeight="1" x14ac:dyDescent="0.25">
      <c r="A205" s="1087"/>
      <c r="B205" s="1088"/>
      <c r="C205" s="1087"/>
      <c r="D205" s="1251"/>
      <c r="E205" s="1087"/>
      <c r="F205" s="1087"/>
      <c r="G205" s="1087"/>
      <c r="H205" s="1263"/>
      <c r="I205" s="1065"/>
    </row>
    <row r="206" spans="1:9" x14ac:dyDescent="0.25">
      <c r="A206" s="1066" t="s">
        <v>427</v>
      </c>
      <c r="B206" s="1067" t="s">
        <v>417</v>
      </c>
      <c r="C206" s="1068">
        <v>16843949084</v>
      </c>
      <c r="D206" s="1244">
        <v>96.35</v>
      </c>
      <c r="E206" s="1068">
        <v>76393.845000000001</v>
      </c>
      <c r="F206" s="1068">
        <v>32570.194</v>
      </c>
      <c r="G206" s="1068">
        <v>108964.039</v>
      </c>
      <c r="H206" s="1260">
        <v>7.1479999999999997</v>
      </c>
      <c r="I206" s="1069">
        <v>2.8</v>
      </c>
    </row>
    <row r="207" spans="1:9" ht="15.75" customHeight="1" x14ac:dyDescent="0.25">
      <c r="A207" s="1070"/>
      <c r="B207" s="1071" t="s">
        <v>418</v>
      </c>
      <c r="C207" s="1036">
        <v>8947946597</v>
      </c>
      <c r="D207" s="1245">
        <v>99.89</v>
      </c>
      <c r="E207" s="1257">
        <v>60340.508000000002</v>
      </c>
      <c r="F207" s="1257">
        <v>15979.972</v>
      </c>
      <c r="G207" s="1242">
        <v>76320.479999999996</v>
      </c>
      <c r="H207" s="1261">
        <v>8.5289999999999999</v>
      </c>
      <c r="I207" s="965">
        <v>2.1</v>
      </c>
    </row>
    <row r="208" spans="1:9" ht="15.75" customHeight="1" x14ac:dyDescent="0.25">
      <c r="A208" s="1073"/>
      <c r="B208" s="1038" t="s">
        <v>419</v>
      </c>
      <c r="C208" s="1074">
        <v>2262412435</v>
      </c>
      <c r="D208" s="1246">
        <v>81.540000000000006</v>
      </c>
      <c r="E208" s="1076">
        <v>15293.638000000001</v>
      </c>
      <c r="F208" s="1076">
        <v>6758.991</v>
      </c>
      <c r="G208" s="1076">
        <v>22052.628000000001</v>
      </c>
      <c r="H208" s="1262">
        <v>9.74</v>
      </c>
      <c r="I208" s="1075">
        <v>2.4</v>
      </c>
    </row>
    <row r="209" spans="1:9" ht="15.75" customHeight="1" x14ac:dyDescent="0.25">
      <c r="A209" s="1070"/>
      <c r="B209" s="1043" t="s">
        <v>420</v>
      </c>
      <c r="C209" s="1036">
        <v>3895896745</v>
      </c>
      <c r="D209" s="1233">
        <v>100</v>
      </c>
      <c r="E209" s="1234">
        <v>64.385999999999996</v>
      </c>
      <c r="F209" s="1234">
        <v>9530.3610000000008</v>
      </c>
      <c r="G209" s="1044">
        <v>9594.7469999999994</v>
      </c>
      <c r="H209" s="1227">
        <v>2.4460000000000002</v>
      </c>
      <c r="I209" s="965">
        <v>4.5</v>
      </c>
    </row>
    <row r="210" spans="1:9" ht="15.75" customHeight="1" x14ac:dyDescent="0.25">
      <c r="A210" s="1073"/>
      <c r="B210" s="1047" t="s">
        <v>421</v>
      </c>
      <c r="C210" s="1074">
        <v>128542435</v>
      </c>
      <c r="D210" s="1246">
        <v>0</v>
      </c>
      <c r="E210" s="1259">
        <v>695.31299999999999</v>
      </c>
      <c r="F210" s="1259">
        <v>300.87</v>
      </c>
      <c r="G210" s="1076">
        <v>996.18299999999999</v>
      </c>
      <c r="H210" s="1262"/>
      <c r="I210" s="1075"/>
    </row>
    <row r="211" spans="1:9" ht="15.75" customHeight="1" x14ac:dyDescent="0.25">
      <c r="A211" s="1070"/>
      <c r="B211" s="1043" t="s">
        <v>422</v>
      </c>
      <c r="C211" s="1036">
        <v>1609150873</v>
      </c>
      <c r="D211" s="1252">
        <v>0</v>
      </c>
      <c r="E211" s="1078"/>
      <c r="F211" s="1043"/>
      <c r="G211" s="1043"/>
      <c r="H211" s="1227"/>
      <c r="I211" s="965"/>
    </row>
    <row r="212" spans="1:9" ht="15.75" customHeight="1" x14ac:dyDescent="0.25">
      <c r="A212" s="1073"/>
      <c r="B212" s="1047" t="s">
        <v>423</v>
      </c>
      <c r="C212" s="1074">
        <v>299648525</v>
      </c>
      <c r="D212" s="1253">
        <v>0</v>
      </c>
      <c r="E212" s="1080"/>
      <c r="F212" s="1081"/>
      <c r="G212" s="1074"/>
      <c r="H212" s="1262"/>
      <c r="I212" s="1061"/>
    </row>
    <row r="213" spans="1:9" ht="15.75" customHeight="1" x14ac:dyDescent="0.25">
      <c r="A213" s="1070"/>
      <c r="B213" s="1053" t="s">
        <v>424</v>
      </c>
      <c r="C213" s="1077">
        <v>1309502348</v>
      </c>
      <c r="D213" s="1254">
        <v>0</v>
      </c>
      <c r="E213" s="1083"/>
      <c r="F213" s="1072"/>
      <c r="G213" s="1072"/>
      <c r="H213" s="1261"/>
      <c r="I213" s="965"/>
    </row>
    <row r="214" spans="1:9" ht="15.75" customHeight="1" x14ac:dyDescent="0.25">
      <c r="A214" s="1073"/>
      <c r="B214" s="1084" t="s">
        <v>425</v>
      </c>
      <c r="C214" s="1089">
        <v>0</v>
      </c>
      <c r="D214" s="1250"/>
      <c r="E214" s="1081"/>
      <c r="F214" s="1081"/>
      <c r="G214" s="1081"/>
      <c r="H214" s="1262"/>
      <c r="I214" s="1086"/>
    </row>
    <row r="215" spans="1:9" ht="15.75" customHeight="1" x14ac:dyDescent="0.25">
      <c r="A215" s="1087"/>
      <c r="B215" s="1088"/>
      <c r="C215" s="1087"/>
      <c r="D215" s="1251"/>
      <c r="E215" s="1087"/>
      <c r="F215" s="1087"/>
      <c r="G215" s="1087"/>
      <c r="H215" s="1264"/>
      <c r="I215" s="1090"/>
    </row>
    <row r="216" spans="1:9" x14ac:dyDescent="0.25">
      <c r="A216" s="1066" t="s">
        <v>428</v>
      </c>
      <c r="B216" s="1067" t="s">
        <v>417</v>
      </c>
      <c r="C216" s="1068">
        <v>20883760819</v>
      </c>
      <c r="D216" s="1244">
        <v>86.57</v>
      </c>
      <c r="E216" s="1068">
        <v>69243.675000000003</v>
      </c>
      <c r="F216" s="1068">
        <v>28422.007000000001</v>
      </c>
      <c r="G216" s="1068">
        <v>97665.682000000001</v>
      </c>
      <c r="H216" s="1243">
        <v>5.3150000000000004</v>
      </c>
      <c r="I216" s="1091">
        <v>3.3</v>
      </c>
    </row>
    <row r="217" spans="1:9" ht="15.75" customHeight="1" x14ac:dyDescent="0.25">
      <c r="A217" s="1070"/>
      <c r="B217" s="1071" t="s">
        <v>418</v>
      </c>
      <c r="C217" s="1036">
        <v>1102514028</v>
      </c>
      <c r="D217" s="1245">
        <v>87.31</v>
      </c>
      <c r="E217" s="1257">
        <v>6463.3370000000004</v>
      </c>
      <c r="F217" s="1257">
        <v>788.58299999999997</v>
      </c>
      <c r="G217" s="1257">
        <v>7251.92</v>
      </c>
      <c r="H217" s="1265">
        <v>6.7619999999999996</v>
      </c>
      <c r="I217" s="1092">
        <v>2</v>
      </c>
    </row>
    <row r="218" spans="1:9" ht="15.75" customHeight="1" x14ac:dyDescent="0.25">
      <c r="A218" s="1073"/>
      <c r="B218" s="1038" t="s">
        <v>419</v>
      </c>
      <c r="C218" s="1074">
        <v>1130081994</v>
      </c>
      <c r="D218" s="1246">
        <v>65.92</v>
      </c>
      <c r="E218" s="1076">
        <v>8299.4940000000006</v>
      </c>
      <c r="F218" s="1076">
        <v>2555.415</v>
      </c>
      <c r="G218" s="1076">
        <v>10854.909</v>
      </c>
      <c r="H218" s="1258">
        <v>11.379</v>
      </c>
      <c r="I218" s="1093">
        <v>2.1</v>
      </c>
    </row>
    <row r="219" spans="1:9" ht="15.75" customHeight="1" x14ac:dyDescent="0.25">
      <c r="A219" s="1070"/>
      <c r="B219" s="1043" t="s">
        <v>420</v>
      </c>
      <c r="C219" s="1036">
        <v>4259807964</v>
      </c>
      <c r="D219" s="1233">
        <v>100</v>
      </c>
      <c r="E219" s="1044">
        <v>0.53500000000000003</v>
      </c>
      <c r="F219" s="1044">
        <v>7688.3209999999999</v>
      </c>
      <c r="G219" s="1044">
        <v>7688.8559999999998</v>
      </c>
      <c r="H219" s="1226">
        <v>1.8029999999999999</v>
      </c>
      <c r="I219" s="1092">
        <v>3.9</v>
      </c>
    </row>
    <row r="220" spans="1:9" ht="15.75" customHeight="1" x14ac:dyDescent="0.25">
      <c r="A220" s="1073"/>
      <c r="B220" s="1047" t="s">
        <v>421</v>
      </c>
      <c r="C220" s="1074">
        <v>120974228</v>
      </c>
      <c r="D220" s="1246">
        <v>0</v>
      </c>
      <c r="E220" s="1076">
        <v>524.98599999999999</v>
      </c>
      <c r="F220" s="1076">
        <v>160.41</v>
      </c>
      <c r="G220" s="1076">
        <v>685.39599999999996</v>
      </c>
      <c r="H220" s="1258"/>
      <c r="I220" s="1093"/>
    </row>
    <row r="221" spans="1:9" ht="15.75" customHeight="1" x14ac:dyDescent="0.25">
      <c r="A221" s="1070"/>
      <c r="B221" s="1043" t="s">
        <v>422</v>
      </c>
      <c r="C221" s="1036">
        <v>0</v>
      </c>
      <c r="D221" s="1252"/>
      <c r="E221" s="1078"/>
      <c r="F221" s="1043"/>
      <c r="G221" s="1043"/>
      <c r="H221" s="1226"/>
      <c r="I221" s="1092"/>
    </row>
    <row r="222" spans="1:9" ht="15.75" customHeight="1" x14ac:dyDescent="0.25">
      <c r="A222" s="1073"/>
      <c r="B222" s="1047" t="s">
        <v>423</v>
      </c>
      <c r="C222" s="1074">
        <v>0</v>
      </c>
      <c r="D222" s="1253"/>
      <c r="E222" s="1080"/>
      <c r="F222" s="1081"/>
      <c r="G222" s="1081"/>
      <c r="H222" s="1258"/>
      <c r="I222" s="1094"/>
    </row>
    <row r="223" spans="1:9" ht="15.75" customHeight="1" x14ac:dyDescent="0.25">
      <c r="A223" s="1070"/>
      <c r="B223" s="1095" t="s">
        <v>424</v>
      </c>
      <c r="C223" s="1096">
        <v>0</v>
      </c>
      <c r="D223" s="1255"/>
      <c r="E223" s="1083"/>
      <c r="F223" s="1072"/>
      <c r="G223" s="1072"/>
      <c r="H223" s="1265"/>
      <c r="I223" s="1092"/>
    </row>
    <row r="224" spans="1:9" ht="15.75" customHeight="1" x14ac:dyDescent="0.25">
      <c r="A224" s="1097"/>
      <c r="B224" s="1098" t="s">
        <v>425</v>
      </c>
      <c r="C224" s="1099">
        <v>14270382604</v>
      </c>
      <c r="D224" s="1256">
        <v>84.71</v>
      </c>
      <c r="E224" s="1099">
        <v>53955.322</v>
      </c>
      <c r="F224" s="1099">
        <v>17229.277999999998</v>
      </c>
      <c r="G224" s="1099">
        <v>71184.600000000006</v>
      </c>
      <c r="H224" s="1266">
        <v>6.3550000000000004</v>
      </c>
      <c r="I224" s="1061"/>
    </row>
    <row r="225" spans="1:10" ht="15.75" customHeight="1" x14ac:dyDescent="0.25">
      <c r="A225" s="453"/>
      <c r="B225" s="453"/>
      <c r="C225" s="453"/>
      <c r="D225" s="453"/>
      <c r="E225" s="453"/>
      <c r="F225" s="453"/>
      <c r="G225" s="453"/>
      <c r="H225" s="453"/>
      <c r="I225" s="453"/>
      <c r="J225" s="453"/>
    </row>
    <row r="226" spans="1:10" ht="33" customHeight="1" x14ac:dyDescent="0.25">
      <c r="A226" s="946" t="s">
        <v>429</v>
      </c>
      <c r="B226" s="946"/>
      <c r="C226" s="946"/>
      <c r="D226" s="946"/>
      <c r="E226" s="946"/>
      <c r="F226" s="946"/>
      <c r="G226" s="946"/>
      <c r="H226" s="946"/>
      <c r="I226" s="946"/>
      <c r="J226" s="453"/>
    </row>
    <row r="227" spans="1:10" ht="59.25" customHeight="1" x14ac:dyDescent="0.25">
      <c r="A227" s="1526" t="s">
        <v>23</v>
      </c>
      <c r="B227" s="1527"/>
      <c r="C227" s="454" t="s">
        <v>409</v>
      </c>
      <c r="D227" s="454" t="s">
        <v>410</v>
      </c>
      <c r="E227" s="454" t="s">
        <v>411</v>
      </c>
      <c r="F227" s="454" t="s">
        <v>412</v>
      </c>
      <c r="G227" s="454" t="s">
        <v>413</v>
      </c>
      <c r="H227" s="455" t="s">
        <v>414</v>
      </c>
      <c r="I227" s="456" t="s">
        <v>415</v>
      </c>
    </row>
    <row r="228" spans="1:10" x14ac:dyDescent="0.25">
      <c r="A228" s="1100" t="s">
        <v>416</v>
      </c>
      <c r="B228" s="1031" t="s">
        <v>417</v>
      </c>
      <c r="C228" s="1101">
        <v>48298697057</v>
      </c>
      <c r="D228" s="1272">
        <v>88.81</v>
      </c>
      <c r="E228" s="1101">
        <v>113447.23699999999</v>
      </c>
      <c r="F228" s="1101">
        <v>88751.377999999997</v>
      </c>
      <c r="G228" s="1101">
        <v>202198.614</v>
      </c>
      <c r="H228" s="1270">
        <v>4.4989999999999997</v>
      </c>
      <c r="I228" s="1286">
        <v>3.7</v>
      </c>
    </row>
    <row r="229" spans="1:10" x14ac:dyDescent="0.25">
      <c r="A229" s="1034"/>
      <c r="B229" s="1035" t="s">
        <v>418</v>
      </c>
      <c r="C229" s="1036">
        <v>6370429149</v>
      </c>
      <c r="D229" s="1231">
        <v>77.59</v>
      </c>
      <c r="E229" s="1238">
        <v>39468.466</v>
      </c>
      <c r="F229" s="1238">
        <v>8801.7620000000006</v>
      </c>
      <c r="G229" s="1238">
        <v>48270.228000000003</v>
      </c>
      <c r="H229" s="1222">
        <v>8.0809999999999995</v>
      </c>
      <c r="I229" s="1287">
        <v>2.1</v>
      </c>
    </row>
    <row r="230" spans="1:10" ht="15.75" customHeight="1" x14ac:dyDescent="0.25">
      <c r="A230" s="1034"/>
      <c r="B230" s="1038" t="s">
        <v>419</v>
      </c>
      <c r="C230" s="1039">
        <v>4474585990</v>
      </c>
      <c r="D230" s="1232">
        <v>68.430000000000007</v>
      </c>
      <c r="E230" s="1040">
        <v>28320.651999999998</v>
      </c>
      <c r="F230" s="1040">
        <v>7338.4009999999998</v>
      </c>
      <c r="G230" s="1040">
        <v>35659.052000000003</v>
      </c>
      <c r="H230" s="1225">
        <v>8.516</v>
      </c>
      <c r="I230" s="1288">
        <v>2.2999999999999998</v>
      </c>
    </row>
    <row r="231" spans="1:10" ht="15.75" customHeight="1" x14ac:dyDescent="0.25">
      <c r="A231" s="1037"/>
      <c r="B231" s="1043" t="s">
        <v>420</v>
      </c>
      <c r="C231" s="1036">
        <v>22544196380</v>
      </c>
      <c r="D231" s="1233">
        <v>100</v>
      </c>
      <c r="E231" s="1044">
        <v>8.5739999999999998</v>
      </c>
      <c r="F231" s="1044">
        <v>58266.805999999997</v>
      </c>
      <c r="G231" s="1044">
        <v>58275.38</v>
      </c>
      <c r="H231" s="1226">
        <v>2.5819999999999999</v>
      </c>
      <c r="I231" s="1287">
        <v>4.2</v>
      </c>
    </row>
    <row r="232" spans="1:10" ht="15.75" customHeight="1" x14ac:dyDescent="0.25">
      <c r="A232" s="1034"/>
      <c r="B232" s="1047" t="s">
        <v>421</v>
      </c>
      <c r="C232" s="1039">
        <v>621573796</v>
      </c>
      <c r="D232" s="1232">
        <v>0</v>
      </c>
      <c r="E232" s="1040">
        <v>3223.5659999999998</v>
      </c>
      <c r="F232" s="1040">
        <v>468.79399999999998</v>
      </c>
      <c r="G232" s="1040">
        <v>3692.36</v>
      </c>
      <c r="H232" s="1225"/>
      <c r="I232" s="1288"/>
    </row>
    <row r="233" spans="1:10" ht="15.75" customHeight="1" x14ac:dyDescent="0.25">
      <c r="A233" s="1037"/>
      <c r="B233" s="1043" t="s">
        <v>422</v>
      </c>
      <c r="C233" s="1036">
        <v>2878456061</v>
      </c>
      <c r="D233" s="1233">
        <v>0</v>
      </c>
      <c r="E233" s="1043"/>
      <c r="F233" s="1043"/>
      <c r="G233" s="1043"/>
      <c r="H233" s="1226"/>
      <c r="I233" s="1287"/>
    </row>
    <row r="234" spans="1:10" ht="15.75" customHeight="1" x14ac:dyDescent="0.25">
      <c r="A234" s="1034"/>
      <c r="B234" s="1047" t="s">
        <v>423</v>
      </c>
      <c r="C234" s="1049">
        <v>133780821</v>
      </c>
      <c r="D234" s="1235">
        <v>0</v>
      </c>
      <c r="E234" s="1050"/>
      <c r="F234" s="1048"/>
      <c r="G234" s="1040"/>
      <c r="H234" s="1225"/>
      <c r="I234" s="1289"/>
    </row>
    <row r="235" spans="1:10" ht="15.75" customHeight="1" x14ac:dyDescent="0.25">
      <c r="A235" s="1037"/>
      <c r="B235" s="1053" t="s">
        <v>424</v>
      </c>
      <c r="C235" s="1054">
        <v>2744675240</v>
      </c>
      <c r="D235" s="1273">
        <v>0</v>
      </c>
      <c r="E235" s="1055"/>
      <c r="F235" s="1055"/>
      <c r="G235" s="1055"/>
      <c r="H235" s="1281"/>
      <c r="I235" s="1287"/>
    </row>
    <row r="236" spans="1:10" ht="15.75" customHeight="1" x14ac:dyDescent="0.25">
      <c r="A236" s="1034"/>
      <c r="B236" s="1084" t="s">
        <v>425</v>
      </c>
      <c r="C236" s="1039">
        <v>11409455682</v>
      </c>
      <c r="D236" s="1285">
        <v>85.45</v>
      </c>
      <c r="E236" s="1039">
        <v>42425.98</v>
      </c>
      <c r="F236" s="1039">
        <v>13875.615</v>
      </c>
      <c r="G236" s="1039">
        <v>56301.595000000001</v>
      </c>
      <c r="H236" s="1225">
        <v>6.1369999999999996</v>
      </c>
      <c r="I236" s="1290"/>
    </row>
    <row r="237" spans="1:10" ht="15.75" customHeight="1" x14ac:dyDescent="0.25">
      <c r="A237" s="1062"/>
      <c r="B237" s="1063"/>
      <c r="C237" s="1062"/>
      <c r="D237" s="1274"/>
      <c r="E237" s="1062"/>
      <c r="F237" s="1062"/>
      <c r="G237" s="1062"/>
      <c r="H237" s="1271"/>
      <c r="I237" s="1291"/>
    </row>
    <row r="238" spans="1:10" x14ac:dyDescent="0.25">
      <c r="A238" s="1105" t="s">
        <v>426</v>
      </c>
      <c r="B238" s="1067" t="s">
        <v>417</v>
      </c>
      <c r="C238" s="1068">
        <v>22930075839</v>
      </c>
      <c r="D238" s="1244">
        <v>87.12</v>
      </c>
      <c r="E238" s="1068">
        <v>22010.246999999999</v>
      </c>
      <c r="F238" s="1068">
        <v>49727.847000000002</v>
      </c>
      <c r="G238" s="1068">
        <v>71738.093999999997</v>
      </c>
      <c r="H238" s="1260">
        <v>3.0870000000000002</v>
      </c>
      <c r="I238" s="1292">
        <v>4.0999999999999996</v>
      </c>
    </row>
    <row r="239" spans="1:10" x14ac:dyDescent="0.25">
      <c r="A239" s="1072"/>
      <c r="B239" s="1071" t="s">
        <v>418</v>
      </c>
      <c r="C239" s="1036">
        <v>1390861956</v>
      </c>
      <c r="D239" s="1245">
        <v>0</v>
      </c>
      <c r="E239" s="1257">
        <v>7489.3580000000002</v>
      </c>
      <c r="F239" s="1257">
        <v>696.14099999999996</v>
      </c>
      <c r="G239" s="1257">
        <v>8185.5</v>
      </c>
      <c r="H239" s="1261">
        <v>0</v>
      </c>
      <c r="I239" s="1224"/>
    </row>
    <row r="240" spans="1:10" ht="15.75" customHeight="1" x14ac:dyDescent="0.25">
      <c r="A240" s="1055"/>
      <c r="B240" s="1038" t="s">
        <v>419</v>
      </c>
      <c r="C240" s="1074">
        <v>2223990992</v>
      </c>
      <c r="D240" s="1246">
        <v>63.47</v>
      </c>
      <c r="E240" s="1076">
        <v>11975.499</v>
      </c>
      <c r="F240" s="1076">
        <v>1113.1310000000001</v>
      </c>
      <c r="G240" s="1076">
        <v>13088.63</v>
      </c>
      <c r="H240" s="1262">
        <v>5.7629999999999999</v>
      </c>
      <c r="I240" s="1293">
        <v>2.2999999999999998</v>
      </c>
    </row>
    <row r="241" spans="1:9" ht="15.75" customHeight="1" x14ac:dyDescent="0.25">
      <c r="A241" s="1072"/>
      <c r="B241" s="1043" t="s">
        <v>420</v>
      </c>
      <c r="C241" s="1036">
        <v>16684098934</v>
      </c>
      <c r="D241" s="1233">
        <v>100</v>
      </c>
      <c r="E241" s="1044">
        <v>3.6509999999999998</v>
      </c>
      <c r="F241" s="1044">
        <v>47682.317999999999</v>
      </c>
      <c r="G241" s="1044">
        <v>47685.968999999997</v>
      </c>
      <c r="H241" s="1227">
        <v>2.8559999999999999</v>
      </c>
      <c r="I241" s="1224">
        <v>4.3</v>
      </c>
    </row>
    <row r="242" spans="1:9" ht="15.75" customHeight="1" x14ac:dyDescent="0.25">
      <c r="A242" s="1055"/>
      <c r="B242" s="1047" t="s">
        <v>421</v>
      </c>
      <c r="C242" s="1074">
        <v>471938234</v>
      </c>
      <c r="D242" s="1246">
        <v>0</v>
      </c>
      <c r="E242" s="1076">
        <v>2541.2399999999998</v>
      </c>
      <c r="F242" s="1076">
        <v>236.21</v>
      </c>
      <c r="G242" s="1076">
        <v>2777.451</v>
      </c>
      <c r="H242" s="1262">
        <v>0</v>
      </c>
      <c r="I242" s="1293"/>
    </row>
    <row r="243" spans="1:9" ht="15.75" customHeight="1" x14ac:dyDescent="0.25">
      <c r="A243" s="1072"/>
      <c r="B243" s="1043" t="s">
        <v>422</v>
      </c>
      <c r="C243" s="1077">
        <v>2159093212</v>
      </c>
      <c r="D243" s="1247"/>
      <c r="E243" s="1078"/>
      <c r="F243" s="1043"/>
      <c r="G243" s="1043"/>
      <c r="H243" s="1227"/>
      <c r="I243" s="1224"/>
    </row>
    <row r="244" spans="1:9" ht="15.75" customHeight="1" x14ac:dyDescent="0.25">
      <c r="A244" s="1055"/>
      <c r="B244" s="1047" t="s">
        <v>423</v>
      </c>
      <c r="C244" s="1079">
        <v>0</v>
      </c>
      <c r="D244" s="1248"/>
      <c r="E244" s="1080"/>
      <c r="F244" s="1081"/>
      <c r="G244" s="1081"/>
      <c r="H244" s="1262"/>
      <c r="I244" s="1229"/>
    </row>
    <row r="245" spans="1:9" ht="15.75" customHeight="1" x14ac:dyDescent="0.25">
      <c r="A245" s="1072"/>
      <c r="B245" s="1053" t="s">
        <v>424</v>
      </c>
      <c r="C245" s="1082">
        <v>2159093212</v>
      </c>
      <c r="D245" s="1254"/>
      <c r="E245" s="1083"/>
      <c r="F245" s="1072"/>
      <c r="G245" s="1072"/>
      <c r="H245" s="1261"/>
      <c r="I245" s="1224"/>
    </row>
    <row r="246" spans="1:9" ht="15.75" customHeight="1" x14ac:dyDescent="0.25">
      <c r="A246" s="1055"/>
      <c r="B246" s="1084" t="s">
        <v>425</v>
      </c>
      <c r="C246" s="1085">
        <v>92511</v>
      </c>
      <c r="D246" s="1250"/>
      <c r="E246" s="1246">
        <v>0.498</v>
      </c>
      <c r="F246" s="1246">
        <v>4.5999999999999999E-2</v>
      </c>
      <c r="G246" s="1246">
        <v>0.54400000000000004</v>
      </c>
      <c r="H246" s="1262">
        <v>0</v>
      </c>
      <c r="I246" s="1294"/>
    </row>
    <row r="247" spans="1:9" ht="15.75" customHeight="1" x14ac:dyDescent="0.25">
      <c r="A247" s="1087"/>
      <c r="B247" s="1088"/>
      <c r="C247" s="1087"/>
      <c r="D247" s="1251"/>
      <c r="E247" s="1087"/>
      <c r="F247" s="1087"/>
      <c r="G247" s="1087"/>
      <c r="H247" s="1282"/>
      <c r="I247" s="1291"/>
    </row>
    <row r="248" spans="1:9" x14ac:dyDescent="0.25">
      <c r="A248" s="1105" t="s">
        <v>427</v>
      </c>
      <c r="B248" s="1067" t="s">
        <v>417</v>
      </c>
      <c r="C248" s="1068">
        <v>8016888571</v>
      </c>
      <c r="D248" s="1244">
        <v>96.41</v>
      </c>
      <c r="E248" s="1068">
        <v>36734.476000000002</v>
      </c>
      <c r="F248" s="1068">
        <v>14983.817999999999</v>
      </c>
      <c r="G248" s="1068">
        <v>51718.292999999998</v>
      </c>
      <c r="H248" s="1243">
        <v>7.0830000000000002</v>
      </c>
      <c r="I248" s="1295">
        <v>2.8</v>
      </c>
    </row>
    <row r="249" spans="1:9" ht="15.75" customHeight="1" x14ac:dyDescent="0.25">
      <c r="A249" s="1072"/>
      <c r="B249" s="1071" t="s">
        <v>418</v>
      </c>
      <c r="C249" s="1036">
        <v>4219342352</v>
      </c>
      <c r="D249" s="1245">
        <v>99.9</v>
      </c>
      <c r="E249" s="1257">
        <v>28425.922999999999</v>
      </c>
      <c r="F249" s="1257">
        <v>7613.2979999999998</v>
      </c>
      <c r="G249" s="1257">
        <v>36039.22</v>
      </c>
      <c r="H249" s="1265">
        <v>8.5410000000000004</v>
      </c>
      <c r="I249" s="1287">
        <v>2.1</v>
      </c>
    </row>
    <row r="250" spans="1:9" ht="15.75" customHeight="1" x14ac:dyDescent="0.25">
      <c r="A250" s="1055"/>
      <c r="B250" s="1038" t="s">
        <v>419</v>
      </c>
      <c r="C250" s="1074">
        <v>1136019861</v>
      </c>
      <c r="D250" s="1246">
        <v>80.7</v>
      </c>
      <c r="E250" s="1076">
        <v>8097.0410000000002</v>
      </c>
      <c r="F250" s="1076">
        <v>3692.0439999999999</v>
      </c>
      <c r="G250" s="1076">
        <v>11789.084999999999</v>
      </c>
      <c r="H250" s="1258">
        <v>10.375999999999999</v>
      </c>
      <c r="I250" s="1288">
        <v>2.2999999999999998</v>
      </c>
    </row>
    <row r="251" spans="1:9" ht="15.75" customHeight="1" x14ac:dyDescent="0.25">
      <c r="A251" s="1072"/>
      <c r="B251" s="1043" t="s">
        <v>420</v>
      </c>
      <c r="C251" s="1036">
        <v>1903837075</v>
      </c>
      <c r="D251" s="1233">
        <v>100</v>
      </c>
      <c r="E251" s="1234">
        <v>4.4349999999999996</v>
      </c>
      <c r="F251" s="1234">
        <v>3594.0160000000001</v>
      </c>
      <c r="G251" s="1234">
        <v>3598.45</v>
      </c>
      <c r="H251" s="1226">
        <v>1.8740000000000001</v>
      </c>
      <c r="I251" s="1287">
        <v>4.5999999999999996</v>
      </c>
    </row>
    <row r="252" spans="1:9" ht="15.75" customHeight="1" x14ac:dyDescent="0.25">
      <c r="A252" s="1055"/>
      <c r="B252" s="1047" t="s">
        <v>421</v>
      </c>
      <c r="C252" s="1074">
        <v>38326434</v>
      </c>
      <c r="D252" s="1246">
        <v>0</v>
      </c>
      <c r="E252" s="1259">
        <v>207.078</v>
      </c>
      <c r="F252" s="1259">
        <v>84.460999999999999</v>
      </c>
      <c r="G252" s="1259">
        <v>291.53800000000001</v>
      </c>
      <c r="H252" s="1258">
        <v>7.6020000000000003</v>
      </c>
      <c r="I252" s="1288">
        <v>0</v>
      </c>
    </row>
    <row r="253" spans="1:9" ht="15.75" customHeight="1" x14ac:dyDescent="0.25">
      <c r="A253" s="1072"/>
      <c r="B253" s="1043" t="s">
        <v>422</v>
      </c>
      <c r="C253" s="1036">
        <v>719362849</v>
      </c>
      <c r="D253" s="1252"/>
      <c r="E253" s="1078"/>
      <c r="F253" s="1043"/>
      <c r="G253" s="1043"/>
      <c r="H253" s="1226"/>
      <c r="I253" s="1287"/>
    </row>
    <row r="254" spans="1:9" ht="15.75" customHeight="1" x14ac:dyDescent="0.25">
      <c r="A254" s="1055"/>
      <c r="B254" s="1047" t="s">
        <v>423</v>
      </c>
      <c r="C254" s="1074">
        <v>133780821</v>
      </c>
      <c r="D254" s="1253"/>
      <c r="E254" s="1080"/>
      <c r="F254" s="1081"/>
      <c r="G254" s="1074"/>
      <c r="H254" s="1258"/>
      <c r="I254" s="1289"/>
    </row>
    <row r="255" spans="1:9" ht="15.75" customHeight="1" x14ac:dyDescent="0.25">
      <c r="A255" s="1072"/>
      <c r="B255" s="1053" t="s">
        <v>424</v>
      </c>
      <c r="C255" s="1077">
        <v>585582028</v>
      </c>
      <c r="D255" s="1254"/>
      <c r="E255" s="1083"/>
      <c r="F255" s="1072"/>
      <c r="G255" s="1072"/>
      <c r="H255" s="1265"/>
      <c r="I255" s="1287"/>
    </row>
    <row r="256" spans="1:9" ht="15.75" customHeight="1" x14ac:dyDescent="0.25">
      <c r="A256" s="1055"/>
      <c r="B256" s="1084" t="s">
        <v>425</v>
      </c>
      <c r="C256" s="1089">
        <v>0</v>
      </c>
      <c r="D256" s="1275"/>
      <c r="E256" s="1081"/>
      <c r="F256" s="1081"/>
      <c r="G256" s="1081"/>
      <c r="H256" s="1258"/>
      <c r="I256" s="1290"/>
    </row>
    <row r="257" spans="1:10" ht="15.75" customHeight="1" x14ac:dyDescent="0.25">
      <c r="A257" s="1087"/>
      <c r="B257" s="1088"/>
      <c r="C257" s="1087"/>
      <c r="D257" s="1251"/>
      <c r="E257" s="1087"/>
      <c r="F257" s="1087"/>
      <c r="G257" s="1087"/>
      <c r="H257" s="1283"/>
      <c r="I257" s="1296"/>
    </row>
    <row r="258" spans="1:10" x14ac:dyDescent="0.25">
      <c r="A258" s="1105" t="s">
        <v>428</v>
      </c>
      <c r="B258" s="1067" t="s">
        <v>417</v>
      </c>
      <c r="C258" s="1068">
        <v>17351732647</v>
      </c>
      <c r="D258" s="1244">
        <v>87.54</v>
      </c>
      <c r="E258" s="1068">
        <v>54702.514000000003</v>
      </c>
      <c r="F258" s="1068">
        <v>24039.713</v>
      </c>
      <c r="G258" s="1068">
        <v>78742.226999999999</v>
      </c>
      <c r="H258" s="1243">
        <v>5.0170000000000003</v>
      </c>
      <c r="I258" s="1295">
        <v>3.4</v>
      </c>
    </row>
    <row r="259" spans="1:10" ht="15.75" customHeight="1" x14ac:dyDescent="0.25">
      <c r="A259" s="1072"/>
      <c r="B259" s="1071" t="s">
        <v>418</v>
      </c>
      <c r="C259" s="1036">
        <v>760224840</v>
      </c>
      <c r="D259" s="1233">
        <v>95.76</v>
      </c>
      <c r="E259" s="1257">
        <v>3553.1849999999999</v>
      </c>
      <c r="F259" s="1257">
        <v>492.32299999999998</v>
      </c>
      <c r="G259" s="1257">
        <v>4045.5079999999998</v>
      </c>
      <c r="H259" s="1265">
        <v>5.4160000000000004</v>
      </c>
      <c r="I259" s="1287">
        <v>2</v>
      </c>
    </row>
    <row r="260" spans="1:10" ht="15.75" customHeight="1" x14ac:dyDescent="0.25">
      <c r="A260" s="1055"/>
      <c r="B260" s="1038" t="s">
        <v>419</v>
      </c>
      <c r="C260" s="1074">
        <v>1114575137</v>
      </c>
      <c r="D260" s="1246">
        <v>65.84</v>
      </c>
      <c r="E260" s="1076">
        <v>8248.1119999999992</v>
      </c>
      <c r="F260" s="1076">
        <v>2533.2249999999999</v>
      </c>
      <c r="G260" s="1076">
        <v>10781.338</v>
      </c>
      <c r="H260" s="1258">
        <v>11.488</v>
      </c>
      <c r="I260" s="1288">
        <v>2</v>
      </c>
    </row>
    <row r="261" spans="1:10" ht="15.75" customHeight="1" x14ac:dyDescent="0.25">
      <c r="A261" s="1072"/>
      <c r="B261" s="1043" t="s">
        <v>420</v>
      </c>
      <c r="C261" s="1036">
        <v>3956260371</v>
      </c>
      <c r="D261" s="1233">
        <v>100</v>
      </c>
      <c r="E261" s="1044">
        <v>0.48799999999999999</v>
      </c>
      <c r="F261" s="1044">
        <v>6990.473</v>
      </c>
      <c r="G261" s="1044">
        <v>6990.96</v>
      </c>
      <c r="H261" s="1226">
        <v>1.7649999999999999</v>
      </c>
      <c r="I261" s="1092">
        <v>3.9</v>
      </c>
    </row>
    <row r="262" spans="1:10" ht="15.75" customHeight="1" x14ac:dyDescent="0.25">
      <c r="A262" s="1055"/>
      <c r="B262" s="1047" t="s">
        <v>421</v>
      </c>
      <c r="C262" s="1074">
        <v>111309128</v>
      </c>
      <c r="D262" s="1246">
        <v>0</v>
      </c>
      <c r="E262" s="1076">
        <v>475.24799999999999</v>
      </c>
      <c r="F262" s="1076">
        <v>148.12299999999999</v>
      </c>
      <c r="G262" s="1076">
        <v>623.37099999999998</v>
      </c>
      <c r="H262" s="1258">
        <v>0</v>
      </c>
      <c r="I262" s="1093"/>
    </row>
    <row r="263" spans="1:10" ht="15.75" customHeight="1" x14ac:dyDescent="0.25">
      <c r="A263" s="1072"/>
      <c r="B263" s="1043" t="s">
        <v>422</v>
      </c>
      <c r="C263" s="1036">
        <v>0</v>
      </c>
      <c r="D263" s="1252"/>
      <c r="E263" s="1078"/>
      <c r="F263" s="1043"/>
      <c r="G263" s="1043"/>
      <c r="H263" s="1226"/>
      <c r="I263" s="1092"/>
    </row>
    <row r="264" spans="1:10" ht="15.75" customHeight="1" x14ac:dyDescent="0.25">
      <c r="A264" s="1055"/>
      <c r="B264" s="1047" t="s">
        <v>423</v>
      </c>
      <c r="C264" s="1074">
        <v>0</v>
      </c>
      <c r="D264" s="1253"/>
      <c r="E264" s="1080"/>
      <c r="F264" s="1081"/>
      <c r="G264" s="1081"/>
      <c r="H264" s="1258"/>
      <c r="I264" s="1094"/>
    </row>
    <row r="265" spans="1:10" ht="15.75" customHeight="1" x14ac:dyDescent="0.25">
      <c r="A265" s="1072"/>
      <c r="B265" s="1053" t="s">
        <v>424</v>
      </c>
      <c r="C265" s="1077">
        <v>0</v>
      </c>
      <c r="D265" s="1254"/>
      <c r="E265" s="1083"/>
      <c r="F265" s="1072"/>
      <c r="G265" s="1072"/>
      <c r="H265" s="1265"/>
      <c r="I265" s="1092"/>
    </row>
    <row r="266" spans="1:10" ht="15.75" customHeight="1" x14ac:dyDescent="0.25">
      <c r="A266" s="1097"/>
      <c r="B266" s="1059" t="s">
        <v>425</v>
      </c>
      <c r="C266" s="1108">
        <v>11409363171</v>
      </c>
      <c r="D266" s="1276">
        <v>85.45</v>
      </c>
      <c r="E266" s="1099">
        <v>42425.481</v>
      </c>
      <c r="F266" s="1099">
        <v>13875.569</v>
      </c>
      <c r="G266" s="1099">
        <v>56301.05</v>
      </c>
      <c r="H266" s="1284">
        <v>6.1369999999999996</v>
      </c>
      <c r="I266" s="1094"/>
    </row>
    <row r="267" spans="1:10" ht="15.75" customHeight="1" x14ac:dyDescent="0.25">
      <c r="A267" s="453"/>
      <c r="B267" s="453"/>
      <c r="C267" s="453"/>
      <c r="D267" s="453"/>
      <c r="E267" s="453"/>
      <c r="F267" s="453"/>
      <c r="G267" s="453"/>
      <c r="H267" s="453"/>
      <c r="I267" s="453"/>
      <c r="J267" s="453"/>
    </row>
    <row r="268" spans="1:10" ht="35.25" customHeight="1" x14ac:dyDescent="0.25">
      <c r="A268" s="946" t="s">
        <v>430</v>
      </c>
      <c r="B268" s="946"/>
      <c r="C268" s="946"/>
      <c r="D268" s="946"/>
      <c r="E268" s="946"/>
      <c r="F268" s="946"/>
      <c r="G268" s="946"/>
      <c r="H268" s="946"/>
      <c r="I268" s="946"/>
    </row>
    <row r="269" spans="1:10" ht="66.75" customHeight="1" x14ac:dyDescent="0.25">
      <c r="A269" s="1530" t="s">
        <v>24</v>
      </c>
      <c r="B269" s="1531"/>
      <c r="C269" s="454" t="s">
        <v>409</v>
      </c>
      <c r="D269" s="454" t="s">
        <v>410</v>
      </c>
      <c r="E269" s="454" t="s">
        <v>411</v>
      </c>
      <c r="F269" s="454" t="s">
        <v>412</v>
      </c>
      <c r="G269" s="454" t="s">
        <v>413</v>
      </c>
      <c r="H269" s="455" t="s">
        <v>414</v>
      </c>
      <c r="I269" s="456" t="s">
        <v>415</v>
      </c>
    </row>
    <row r="270" spans="1:10" x14ac:dyDescent="0.25">
      <c r="A270" s="1100" t="s">
        <v>416</v>
      </c>
      <c r="B270" s="1031" t="s">
        <v>417</v>
      </c>
      <c r="C270" s="1101">
        <v>24814232494</v>
      </c>
      <c r="D270" s="1272">
        <v>89.85</v>
      </c>
      <c r="E270" s="1101">
        <v>63051.779000000002</v>
      </c>
      <c r="F270" s="1101">
        <v>56562.243000000002</v>
      </c>
      <c r="G270" s="1101">
        <v>119614.023</v>
      </c>
      <c r="H270" s="1270">
        <v>5.0720000000000001</v>
      </c>
      <c r="I270" s="1102">
        <v>3.8</v>
      </c>
    </row>
    <row r="271" spans="1:10" ht="15.75" customHeight="1" x14ac:dyDescent="0.25">
      <c r="A271" s="1034"/>
      <c r="B271" s="1035" t="s">
        <v>418</v>
      </c>
      <c r="C271" s="1036">
        <v>6220724231</v>
      </c>
      <c r="D271" s="1245">
        <v>79.7</v>
      </c>
      <c r="E271" s="1277">
        <v>41603.546000000002</v>
      </c>
      <c r="F271" s="1277">
        <v>10432.375</v>
      </c>
      <c r="G271" s="1277">
        <v>52035.921999999999</v>
      </c>
      <c r="H271" s="1265">
        <v>8.6329999999999991</v>
      </c>
      <c r="I271" s="1092">
        <v>2.1</v>
      </c>
    </row>
    <row r="272" spans="1:10" ht="15.75" customHeight="1" x14ac:dyDescent="0.25">
      <c r="A272" s="1034"/>
      <c r="B272" s="1038" t="s">
        <v>419</v>
      </c>
      <c r="C272" s="1039">
        <v>1154453231</v>
      </c>
      <c r="D272" s="1232">
        <v>81.349999999999994</v>
      </c>
      <c r="E272" s="1040">
        <v>7321.9889999999996</v>
      </c>
      <c r="F272" s="1040">
        <v>3108.46</v>
      </c>
      <c r="G272" s="1040">
        <v>10430.449000000001</v>
      </c>
      <c r="H272" s="1225">
        <v>9.0530000000000008</v>
      </c>
      <c r="I272" s="1093">
        <v>2.4</v>
      </c>
    </row>
    <row r="273" spans="1:9" ht="15.75" customHeight="1" x14ac:dyDescent="0.25">
      <c r="A273" s="1037"/>
      <c r="B273" s="1043" t="s">
        <v>420</v>
      </c>
      <c r="C273" s="1036">
        <v>12840095432</v>
      </c>
      <c r="D273" s="1233">
        <v>100</v>
      </c>
      <c r="E273" s="1044">
        <v>62.439</v>
      </c>
      <c r="F273" s="1103">
        <v>38917.351000000002</v>
      </c>
      <c r="G273" s="1044">
        <v>38979.79</v>
      </c>
      <c r="H273" s="1226">
        <v>3.0310000000000001</v>
      </c>
      <c r="I273" s="1092">
        <v>4.5</v>
      </c>
    </row>
    <row r="274" spans="1:9" ht="15.75" customHeight="1" x14ac:dyDescent="0.25">
      <c r="A274" s="1034"/>
      <c r="B274" s="1047" t="s">
        <v>421</v>
      </c>
      <c r="C274" s="1039">
        <v>433617076</v>
      </c>
      <c r="D274" s="1232">
        <v>0</v>
      </c>
      <c r="E274" s="1040">
        <v>2505.5079999999998</v>
      </c>
      <c r="F274" s="1040">
        <v>742.39499999999998</v>
      </c>
      <c r="G274" s="1040">
        <v>3247.9029999999998</v>
      </c>
      <c r="H274" s="1225"/>
      <c r="I274" s="1093"/>
    </row>
    <row r="275" spans="1:9" ht="15.75" customHeight="1" x14ac:dyDescent="0.25">
      <c r="A275" s="1037"/>
      <c r="B275" s="1043" t="s">
        <v>422</v>
      </c>
      <c r="C275" s="1036">
        <v>1299166050</v>
      </c>
      <c r="D275" s="1233">
        <v>0</v>
      </c>
      <c r="E275" s="1043"/>
      <c r="F275" s="1043"/>
      <c r="G275" s="1043"/>
      <c r="H275" s="1226"/>
      <c r="I275" s="1092"/>
    </row>
    <row r="276" spans="1:9" ht="15.75" customHeight="1" x14ac:dyDescent="0.25">
      <c r="A276" s="1034"/>
      <c r="B276" s="1047" t="s">
        <v>423</v>
      </c>
      <c r="C276" s="1049">
        <v>165867704</v>
      </c>
      <c r="D276" s="1235">
        <v>0</v>
      </c>
      <c r="E276" s="1050"/>
      <c r="F276" s="1048"/>
      <c r="G276" s="1048"/>
      <c r="H276" s="1225"/>
      <c r="I276" s="1094"/>
    </row>
    <row r="277" spans="1:9" ht="15.75" customHeight="1" x14ac:dyDescent="0.25">
      <c r="A277" s="1037"/>
      <c r="B277" s="1053" t="s">
        <v>424</v>
      </c>
      <c r="C277" s="1054">
        <v>1133297971</v>
      </c>
      <c r="D277" s="1273">
        <v>0</v>
      </c>
      <c r="E277" s="1055"/>
      <c r="F277" s="1055"/>
      <c r="G277" s="1055"/>
      <c r="H277" s="1281"/>
      <c r="I277" s="1092"/>
    </row>
    <row r="278" spans="1:9" ht="15.75" customHeight="1" x14ac:dyDescent="0.25">
      <c r="A278" s="1034"/>
      <c r="B278" s="1084" t="s">
        <v>425</v>
      </c>
      <c r="C278" s="1039">
        <v>2866176473</v>
      </c>
      <c r="D278" s="1232">
        <v>81.75</v>
      </c>
      <c r="E278" s="1039">
        <v>11558.296</v>
      </c>
      <c r="F278" s="1039">
        <v>3361.663</v>
      </c>
      <c r="G278" s="1039">
        <v>14919.959000000001</v>
      </c>
      <c r="H278" s="1225">
        <v>7.2830000000000004</v>
      </c>
      <c r="I278" s="1104"/>
    </row>
    <row r="279" spans="1:9" ht="15.75" customHeight="1" x14ac:dyDescent="0.25">
      <c r="A279" s="1062"/>
      <c r="B279" s="1063"/>
      <c r="C279" s="1062"/>
      <c r="D279" s="1274"/>
      <c r="E279" s="1062"/>
      <c r="F279" s="1062"/>
      <c r="G279" s="1062"/>
      <c r="H279" s="1271"/>
      <c r="I279" s="1064"/>
    </row>
    <row r="280" spans="1:9" x14ac:dyDescent="0.25">
      <c r="A280" s="1105" t="s">
        <v>426</v>
      </c>
      <c r="B280" s="1067" t="s">
        <v>417</v>
      </c>
      <c r="C280" s="1068">
        <v>12455143809</v>
      </c>
      <c r="D280" s="1244">
        <v>87.57</v>
      </c>
      <c r="E280" s="1068">
        <v>8851.25</v>
      </c>
      <c r="F280" s="1068">
        <v>34593.572999999997</v>
      </c>
      <c r="G280" s="1068">
        <v>43444.822</v>
      </c>
      <c r="H280" s="1260">
        <v>3.0609999999999999</v>
      </c>
      <c r="I280" s="1069">
        <v>4.5</v>
      </c>
    </row>
    <row r="281" spans="1:9" ht="15.75" customHeight="1" x14ac:dyDescent="0.25">
      <c r="A281" s="1072"/>
      <c r="B281" s="1071" t="s">
        <v>418</v>
      </c>
      <c r="C281" s="1036">
        <v>1149830798</v>
      </c>
      <c r="D281" s="1245">
        <v>0</v>
      </c>
      <c r="E281" s="1257">
        <v>6778.808</v>
      </c>
      <c r="F281" s="1257">
        <v>1769.441</v>
      </c>
      <c r="G281" s="1257">
        <v>8548.2489999999998</v>
      </c>
      <c r="H281" s="1261">
        <v>3.2000000000000001E-2</v>
      </c>
      <c r="I281" s="965">
        <v>2</v>
      </c>
    </row>
    <row r="282" spans="1:9" ht="15.75" customHeight="1" x14ac:dyDescent="0.25">
      <c r="A282" s="1055"/>
      <c r="B282" s="1038" t="s">
        <v>419</v>
      </c>
      <c r="C282" s="1074">
        <v>12553800</v>
      </c>
      <c r="D282" s="1246">
        <v>0</v>
      </c>
      <c r="E282" s="1076">
        <v>74.010999999999996</v>
      </c>
      <c r="F282" s="1076">
        <v>19.323</v>
      </c>
      <c r="G282" s="1076">
        <v>93.334000000000003</v>
      </c>
      <c r="H282" s="1262">
        <v>0</v>
      </c>
      <c r="I282" s="1075">
        <v>4</v>
      </c>
    </row>
    <row r="283" spans="1:9" ht="15.75" customHeight="1" x14ac:dyDescent="0.25">
      <c r="A283" s="1072"/>
      <c r="B283" s="1043" t="s">
        <v>420</v>
      </c>
      <c r="C283" s="1036">
        <v>10544488169</v>
      </c>
      <c r="D283" s="1233">
        <v>100</v>
      </c>
      <c r="E283" s="1044">
        <v>2.44</v>
      </c>
      <c r="F283" s="1044">
        <v>32283.156999999999</v>
      </c>
      <c r="G283" s="1044">
        <v>32285.597000000002</v>
      </c>
      <c r="H283" s="1227">
        <v>3.0590000000000002</v>
      </c>
      <c r="I283" s="965">
        <v>4.5</v>
      </c>
    </row>
    <row r="284" spans="1:9" ht="15.75" customHeight="1" x14ac:dyDescent="0.25">
      <c r="A284" s="1055"/>
      <c r="B284" s="1047" t="s">
        <v>421</v>
      </c>
      <c r="C284" s="1074">
        <v>333735975</v>
      </c>
      <c r="D284" s="1246">
        <v>0</v>
      </c>
      <c r="E284" s="1076">
        <v>1967.5350000000001</v>
      </c>
      <c r="F284" s="1076">
        <v>513.69799999999998</v>
      </c>
      <c r="G284" s="1076">
        <v>2481.2330000000002</v>
      </c>
      <c r="H284" s="1262">
        <v>0</v>
      </c>
      <c r="I284" s="1075"/>
    </row>
    <row r="285" spans="1:9" ht="15.75" customHeight="1" x14ac:dyDescent="0.25">
      <c r="A285" s="1072"/>
      <c r="B285" s="1043" t="s">
        <v>422</v>
      </c>
      <c r="C285" s="1077">
        <v>409378026</v>
      </c>
      <c r="D285" s="1247"/>
      <c r="E285" s="1278"/>
      <c r="F285" s="1044"/>
      <c r="G285" s="1044"/>
      <c r="H285" s="1227"/>
      <c r="I285" s="965"/>
    </row>
    <row r="286" spans="1:9" ht="15.75" customHeight="1" x14ac:dyDescent="0.25">
      <c r="A286" s="1055"/>
      <c r="B286" s="1047" t="s">
        <v>423</v>
      </c>
      <c r="C286" s="1079">
        <v>0</v>
      </c>
      <c r="D286" s="1248"/>
      <c r="E286" s="1279"/>
      <c r="F286" s="1074"/>
      <c r="G286" s="1074"/>
      <c r="H286" s="1262"/>
      <c r="I286" s="1061"/>
    </row>
    <row r="287" spans="1:9" ht="15.75" customHeight="1" x14ac:dyDescent="0.25">
      <c r="A287" s="1072"/>
      <c r="B287" s="1053" t="s">
        <v>424</v>
      </c>
      <c r="C287" s="1082">
        <v>409377651</v>
      </c>
      <c r="D287" s="1254"/>
      <c r="E287" s="1280"/>
      <c r="F287" s="1257"/>
      <c r="G287" s="1257"/>
      <c r="H287" s="1261"/>
      <c r="I287" s="965"/>
    </row>
    <row r="288" spans="1:9" ht="15.75" customHeight="1" x14ac:dyDescent="0.25">
      <c r="A288" s="1055"/>
      <c r="B288" s="1084" t="s">
        <v>425</v>
      </c>
      <c r="C288" s="1085">
        <v>5157040</v>
      </c>
      <c r="D288" s="1275">
        <v>86.99</v>
      </c>
      <c r="E288" s="1074">
        <v>28.456</v>
      </c>
      <c r="F288" s="1074">
        <v>7.9530000000000003</v>
      </c>
      <c r="G288" s="1074">
        <v>36.408999999999999</v>
      </c>
      <c r="H288" s="1262">
        <v>6.9539999999999997</v>
      </c>
      <c r="I288" s="1086"/>
    </row>
    <row r="289" spans="1:9" ht="15.75" customHeight="1" x14ac:dyDescent="0.25">
      <c r="A289" s="1087"/>
      <c r="B289" s="1088"/>
      <c r="C289" s="1087"/>
      <c r="D289" s="1251"/>
      <c r="E289" s="1087"/>
      <c r="F289" s="1087"/>
      <c r="G289" s="1087"/>
      <c r="H289" s="1282"/>
      <c r="I289" s="1064"/>
    </row>
    <row r="290" spans="1:9" ht="24.75" customHeight="1" x14ac:dyDescent="0.25">
      <c r="A290" s="1105" t="s">
        <v>427</v>
      </c>
      <c r="B290" s="1067" t="s">
        <v>417</v>
      </c>
      <c r="C290" s="1068">
        <v>8827060513</v>
      </c>
      <c r="D290" s="1244">
        <v>96.29</v>
      </c>
      <c r="E290" s="1068">
        <v>39659.368999999999</v>
      </c>
      <c r="F290" s="1068">
        <v>17586.376</v>
      </c>
      <c r="G290" s="1068">
        <v>57245.745999999999</v>
      </c>
      <c r="H290" s="1243">
        <v>7.2080000000000002</v>
      </c>
      <c r="I290" s="1109">
        <v>2.8</v>
      </c>
    </row>
    <row r="291" spans="1:9" x14ac:dyDescent="0.25">
      <c r="A291" s="1072"/>
      <c r="B291" s="1071" t="s">
        <v>418</v>
      </c>
      <c r="C291" s="1036">
        <v>4728604245</v>
      </c>
      <c r="D291" s="1245">
        <v>99.88</v>
      </c>
      <c r="E291" s="1257">
        <v>31914.585999999999</v>
      </c>
      <c r="F291" s="1257">
        <v>8366.6740000000009</v>
      </c>
      <c r="G291" s="1257">
        <v>40281.26</v>
      </c>
      <c r="H291" s="1265">
        <v>8.5190000000000001</v>
      </c>
      <c r="I291" s="1110">
        <v>2.1</v>
      </c>
    </row>
    <row r="292" spans="1:9" ht="15.75" customHeight="1" x14ac:dyDescent="0.25">
      <c r="A292" s="1055"/>
      <c r="B292" s="1038" t="s">
        <v>419</v>
      </c>
      <c r="C292" s="1074">
        <v>1126392574</v>
      </c>
      <c r="D292" s="1246">
        <v>82.39</v>
      </c>
      <c r="E292" s="1076">
        <v>7196.5969999999998</v>
      </c>
      <c r="F292" s="1076">
        <v>3066.9470000000001</v>
      </c>
      <c r="G292" s="1076">
        <v>10263.544</v>
      </c>
      <c r="H292" s="1258">
        <v>9.1110000000000007</v>
      </c>
      <c r="I292" s="1267">
        <v>2.4</v>
      </c>
    </row>
    <row r="293" spans="1:9" ht="15.75" customHeight="1" x14ac:dyDescent="0.25">
      <c r="A293" s="1072"/>
      <c r="B293" s="1043" t="s">
        <v>420</v>
      </c>
      <c r="C293" s="1036">
        <v>1992059670</v>
      </c>
      <c r="D293" s="1233">
        <v>100</v>
      </c>
      <c r="E293" s="1044">
        <v>59.951000000000001</v>
      </c>
      <c r="F293" s="1044">
        <v>5936.3450000000003</v>
      </c>
      <c r="G293" s="1044">
        <v>5996.2969999999996</v>
      </c>
      <c r="H293" s="1226">
        <v>2.9929999999999999</v>
      </c>
      <c r="I293" s="1268">
        <v>4.5</v>
      </c>
    </row>
    <row r="294" spans="1:9" ht="15.75" customHeight="1" x14ac:dyDescent="0.25">
      <c r="A294" s="1055"/>
      <c r="B294" s="1047" t="s">
        <v>421</v>
      </c>
      <c r="C294" s="1074">
        <v>90216001</v>
      </c>
      <c r="D294" s="1246">
        <v>0</v>
      </c>
      <c r="E294" s="1076">
        <v>488.23500000000001</v>
      </c>
      <c r="F294" s="1076">
        <v>216.41</v>
      </c>
      <c r="G294" s="1076">
        <v>704.64499999999998</v>
      </c>
      <c r="H294" s="1258">
        <v>7.806</v>
      </c>
      <c r="I294" s="1269"/>
    </row>
    <row r="295" spans="1:9" ht="15.75" customHeight="1" x14ac:dyDescent="0.25">
      <c r="A295" s="1072"/>
      <c r="B295" s="1043" t="s">
        <v>422</v>
      </c>
      <c r="C295" s="1036">
        <v>889788024</v>
      </c>
      <c r="D295" s="1252"/>
      <c r="E295" s="1078"/>
      <c r="F295" s="1043"/>
      <c r="G295" s="1043"/>
      <c r="H295" s="1226"/>
      <c r="I295" s="1092"/>
    </row>
    <row r="296" spans="1:9" ht="15.75" customHeight="1" x14ac:dyDescent="0.25">
      <c r="A296" s="1055"/>
      <c r="B296" s="1047" t="s">
        <v>423</v>
      </c>
      <c r="C296" s="1074">
        <v>165867704</v>
      </c>
      <c r="D296" s="1253"/>
      <c r="E296" s="1080"/>
      <c r="F296" s="1081"/>
      <c r="G296" s="1081"/>
      <c r="H296" s="1258"/>
      <c r="I296" s="1094"/>
    </row>
    <row r="297" spans="1:9" ht="15.75" customHeight="1" x14ac:dyDescent="0.25">
      <c r="A297" s="1072"/>
      <c r="B297" s="1053" t="s">
        <v>424</v>
      </c>
      <c r="C297" s="1077">
        <v>723920320</v>
      </c>
      <c r="D297" s="1254"/>
      <c r="E297" s="1083"/>
      <c r="F297" s="1072"/>
      <c r="G297" s="1072"/>
      <c r="H297" s="1265"/>
      <c r="I297" s="1092"/>
    </row>
    <row r="298" spans="1:9" ht="15.75" customHeight="1" x14ac:dyDescent="0.25">
      <c r="A298" s="1055"/>
      <c r="B298" s="1084" t="s">
        <v>425</v>
      </c>
      <c r="C298" s="1089">
        <v>0</v>
      </c>
      <c r="D298" s="1275"/>
      <c r="E298" s="1081"/>
      <c r="F298" s="1081"/>
      <c r="G298" s="1081"/>
      <c r="H298" s="1258"/>
      <c r="I298" s="1104"/>
    </row>
    <row r="299" spans="1:9" ht="15.75" customHeight="1" x14ac:dyDescent="0.25">
      <c r="A299" s="1087"/>
      <c r="B299" s="1088"/>
      <c r="C299" s="1087"/>
      <c r="D299" s="1251"/>
      <c r="E299" s="1087"/>
      <c r="F299" s="1087"/>
      <c r="G299" s="1087"/>
      <c r="H299" s="1283"/>
      <c r="I299" s="1107"/>
    </row>
    <row r="300" spans="1:9" x14ac:dyDescent="0.25">
      <c r="A300" s="1105" t="s">
        <v>428</v>
      </c>
      <c r="B300" s="1067" t="s">
        <v>417</v>
      </c>
      <c r="C300" s="1068">
        <v>3532028172</v>
      </c>
      <c r="D300" s="1244">
        <v>81.77</v>
      </c>
      <c r="E300" s="1068">
        <v>14541.161</v>
      </c>
      <c r="F300" s="1068">
        <v>4382.2939999999999</v>
      </c>
      <c r="G300" s="1068">
        <v>18923.455000000002</v>
      </c>
      <c r="H300" s="1243">
        <v>6.9390000000000001</v>
      </c>
      <c r="I300" s="1091">
        <v>3.1</v>
      </c>
    </row>
    <row r="301" spans="1:9" ht="15.75" customHeight="1" x14ac:dyDescent="0.25">
      <c r="A301" s="1072"/>
      <c r="B301" s="1071" t="s">
        <v>418</v>
      </c>
      <c r="C301" s="1036">
        <v>342289188</v>
      </c>
      <c r="D301" s="1245">
        <v>68.55</v>
      </c>
      <c r="E301" s="1257">
        <v>2910.152</v>
      </c>
      <c r="F301" s="1257">
        <v>296.26</v>
      </c>
      <c r="G301" s="1257">
        <v>3206.4119999999998</v>
      </c>
      <c r="H301" s="1265">
        <v>10.936</v>
      </c>
      <c r="I301" s="1092">
        <v>2</v>
      </c>
    </row>
    <row r="302" spans="1:9" ht="15.75" customHeight="1" x14ac:dyDescent="0.25">
      <c r="A302" s="1055"/>
      <c r="B302" s="1038" t="s">
        <v>419</v>
      </c>
      <c r="C302" s="1074">
        <v>15506858</v>
      </c>
      <c r="D302" s="1246">
        <v>71.62</v>
      </c>
      <c r="E302" s="1076">
        <v>51.381999999999998</v>
      </c>
      <c r="F302" s="1076">
        <v>22.19</v>
      </c>
      <c r="G302" s="1076">
        <v>73.572000000000003</v>
      </c>
      <c r="H302" s="1258">
        <v>4.2149999999999999</v>
      </c>
      <c r="I302" s="1093">
        <v>2.4</v>
      </c>
    </row>
    <row r="303" spans="1:9" ht="15.75" customHeight="1" x14ac:dyDescent="0.25">
      <c r="A303" s="1072"/>
      <c r="B303" s="1043" t="s">
        <v>420</v>
      </c>
      <c r="C303" s="1036">
        <v>303547593</v>
      </c>
      <c r="D303" s="1233">
        <v>100</v>
      </c>
      <c r="E303" s="1044">
        <v>4.8000000000000001E-2</v>
      </c>
      <c r="F303" s="1043">
        <v>697.84799999999996</v>
      </c>
      <c r="G303" s="1044">
        <v>697.89599999999996</v>
      </c>
      <c r="H303" s="1226">
        <v>2.2970000000000002</v>
      </c>
      <c r="I303" s="1092">
        <v>4</v>
      </c>
    </row>
    <row r="304" spans="1:9" ht="15.75" customHeight="1" x14ac:dyDescent="0.25">
      <c r="A304" s="1055"/>
      <c r="B304" s="1047" t="s">
        <v>421</v>
      </c>
      <c r="C304" s="1074">
        <v>9665100</v>
      </c>
      <c r="D304" s="1246">
        <v>0</v>
      </c>
      <c r="E304" s="1047">
        <v>49.738</v>
      </c>
      <c r="F304" s="1047">
        <v>12.287000000000001</v>
      </c>
      <c r="G304" s="1076">
        <v>62.024999999999999</v>
      </c>
      <c r="H304" s="1258">
        <v>0</v>
      </c>
      <c r="I304" s="1093"/>
    </row>
    <row r="305" spans="1:10" ht="15.75" customHeight="1" x14ac:dyDescent="0.25">
      <c r="A305" s="1072"/>
      <c r="B305" s="1043" t="s">
        <v>422</v>
      </c>
      <c r="C305" s="1036">
        <v>0</v>
      </c>
      <c r="D305" s="1252"/>
      <c r="E305" s="1078"/>
      <c r="F305" s="1043"/>
      <c r="G305" s="1043"/>
      <c r="H305" s="1226"/>
      <c r="I305" s="1092"/>
    </row>
    <row r="306" spans="1:10" ht="15.75" customHeight="1" x14ac:dyDescent="0.25">
      <c r="A306" s="1055"/>
      <c r="B306" s="1047" t="s">
        <v>423</v>
      </c>
      <c r="C306" s="1074">
        <v>0</v>
      </c>
      <c r="D306" s="1253"/>
      <c r="E306" s="1080"/>
      <c r="F306" s="1081"/>
      <c r="G306" s="1081"/>
      <c r="H306" s="1258"/>
      <c r="I306" s="1094"/>
    </row>
    <row r="307" spans="1:10" ht="15.75" customHeight="1" x14ac:dyDescent="0.25">
      <c r="A307" s="1072"/>
      <c r="B307" s="1053" t="s">
        <v>424</v>
      </c>
      <c r="C307" s="1077">
        <v>0</v>
      </c>
      <c r="D307" s="1254"/>
      <c r="E307" s="1083"/>
      <c r="F307" s="1072"/>
      <c r="G307" s="1072"/>
      <c r="H307" s="1265"/>
      <c r="I307" s="1092"/>
    </row>
    <row r="308" spans="1:10" ht="15.75" customHeight="1" x14ac:dyDescent="0.25">
      <c r="A308" s="1097"/>
      <c r="B308" s="1059" t="s">
        <v>425</v>
      </c>
      <c r="C308" s="1108">
        <v>2861019433</v>
      </c>
      <c r="D308" s="1276">
        <v>81.739999999999995</v>
      </c>
      <c r="E308" s="1099">
        <v>11529.84</v>
      </c>
      <c r="F308" s="1099">
        <v>3353.71</v>
      </c>
      <c r="G308" s="1099">
        <v>14883.55</v>
      </c>
      <c r="H308" s="1284">
        <v>7.2839999999999998</v>
      </c>
      <c r="I308" s="1094"/>
    </row>
    <row r="309" spans="1:10" ht="15.75" customHeight="1" x14ac:dyDescent="0.25">
      <c r="A309" s="453"/>
      <c r="B309" s="453"/>
      <c r="C309" s="453"/>
      <c r="D309" s="453"/>
      <c r="E309" s="453"/>
      <c r="F309" s="453"/>
      <c r="G309" s="453"/>
      <c r="H309" s="453"/>
      <c r="I309" s="453"/>
      <c r="J309" s="453"/>
    </row>
    <row r="310" spans="1:10" ht="401.25" customHeight="1" x14ac:dyDescent="0.25">
      <c r="A310" s="1520" t="s">
        <v>431</v>
      </c>
      <c r="B310" s="1520"/>
      <c r="C310" s="1520"/>
      <c r="D310" s="1520"/>
      <c r="E310" s="1520"/>
      <c r="F310" s="1520"/>
      <c r="G310" s="1520"/>
      <c r="H310" s="1520"/>
      <c r="I310" s="1520"/>
      <c r="J310" s="1520"/>
    </row>
    <row r="311" spans="1:10" ht="6" hidden="1" customHeight="1" x14ac:dyDescent="0.25">
      <c r="A311" s="1534"/>
      <c r="B311" s="1534"/>
      <c r="C311" s="1534"/>
      <c r="D311" s="1534"/>
      <c r="E311" s="1534"/>
      <c r="F311" s="1534"/>
      <c r="G311" s="1534"/>
      <c r="H311" s="1534"/>
      <c r="I311" s="1534"/>
      <c r="J311" s="1534"/>
    </row>
    <row r="312" spans="1:10" x14ac:dyDescent="0.25">
      <c r="A312" s="77"/>
      <c r="B312" s="77"/>
      <c r="C312" s="77"/>
      <c r="D312" s="77"/>
      <c r="E312" s="77"/>
      <c r="F312" s="77"/>
      <c r="G312" s="77"/>
      <c r="H312" s="77"/>
      <c r="I312" s="77"/>
      <c r="J312" s="77"/>
    </row>
    <row r="313" spans="1:10" ht="43.5" customHeight="1" x14ac:dyDescent="0.25">
      <c r="A313" s="1547" t="s">
        <v>432</v>
      </c>
      <c r="B313" s="1547"/>
      <c r="C313" s="1547"/>
      <c r="D313" s="1547"/>
      <c r="E313" s="77"/>
      <c r="F313" s="77"/>
      <c r="G313" s="77"/>
      <c r="H313" s="77"/>
      <c r="I313" s="77"/>
      <c r="J313" s="77"/>
    </row>
    <row r="314" spans="1:10" x14ac:dyDescent="0.25">
      <c r="A314" s="977" t="s">
        <v>301</v>
      </c>
      <c r="B314" s="518" t="s">
        <v>22</v>
      </c>
      <c r="C314" s="518">
        <v>2023</v>
      </c>
      <c r="D314" s="1113">
        <v>2022</v>
      </c>
      <c r="E314" s="77"/>
      <c r="F314" s="77"/>
      <c r="G314" s="77"/>
      <c r="H314" s="77"/>
      <c r="I314" s="77"/>
      <c r="J314" s="77"/>
    </row>
    <row r="315" spans="1:10" x14ac:dyDescent="0.25">
      <c r="A315" s="544" t="s">
        <v>433</v>
      </c>
      <c r="B315" s="544" t="s">
        <v>434</v>
      </c>
      <c r="C315" s="554">
        <f>SUM(C316:C317)</f>
        <v>173.49470600000001</v>
      </c>
      <c r="D315" s="554">
        <f>SUM(D316:D317)</f>
        <v>130.99</v>
      </c>
      <c r="F315" s="14"/>
      <c r="G315" s="77"/>
      <c r="H315" s="77"/>
      <c r="I315" s="77"/>
      <c r="J315" s="77"/>
    </row>
    <row r="316" spans="1:10" x14ac:dyDescent="0.25">
      <c r="A316" s="978" t="s">
        <v>306</v>
      </c>
      <c r="B316" s="979" t="s">
        <v>435</v>
      </c>
      <c r="C316" s="555">
        <f>E345+S345+AB345</f>
        <v>173.49470600000001</v>
      </c>
      <c r="D316" s="555">
        <f>H345+U345+AD345</f>
        <v>130.99</v>
      </c>
      <c r="F316" s="32"/>
      <c r="G316" s="77"/>
      <c r="H316" s="77"/>
      <c r="I316" s="77"/>
      <c r="J316" s="77"/>
    </row>
    <row r="317" spans="1:10" x14ac:dyDescent="0.25">
      <c r="A317" s="978" t="s">
        <v>307</v>
      </c>
      <c r="B317" s="979" t="s">
        <v>435</v>
      </c>
      <c r="C317" s="555">
        <v>0</v>
      </c>
      <c r="D317" s="706">
        <v>0</v>
      </c>
      <c r="F317" s="77"/>
      <c r="G317" s="77"/>
      <c r="H317" s="77"/>
      <c r="I317" s="77"/>
      <c r="J317" s="77"/>
    </row>
    <row r="318" spans="1:10" x14ac:dyDescent="0.25">
      <c r="A318" s="980" t="s">
        <v>436</v>
      </c>
      <c r="B318" s="980" t="s">
        <v>434</v>
      </c>
      <c r="C318" s="556">
        <f>SUM(C319:C320)</f>
        <v>563.18479883199996</v>
      </c>
      <c r="D318" s="556">
        <f>SUM(D319:D320)</f>
        <v>593.39</v>
      </c>
      <c r="F318" s="77"/>
      <c r="G318" s="77"/>
      <c r="H318" s="77"/>
      <c r="I318" s="77"/>
      <c r="J318" s="77"/>
    </row>
    <row r="319" spans="1:10" x14ac:dyDescent="0.25">
      <c r="A319" s="978" t="s">
        <v>54</v>
      </c>
      <c r="B319" s="979" t="s">
        <v>435</v>
      </c>
      <c r="C319" s="555">
        <f>AB348</f>
        <v>180.15372967199997</v>
      </c>
      <c r="D319" s="555">
        <f>AD348</f>
        <v>213.04</v>
      </c>
      <c r="F319" s="77"/>
      <c r="G319" s="77"/>
      <c r="H319" s="77"/>
      <c r="I319" s="77"/>
      <c r="J319" s="77"/>
    </row>
    <row r="320" spans="1:10" x14ac:dyDescent="0.25">
      <c r="A320" s="978" t="s">
        <v>309</v>
      </c>
      <c r="B320" s="979" t="s">
        <v>435</v>
      </c>
      <c r="C320" s="555">
        <f>E349+S349+AB349</f>
        <v>383.03106916000002</v>
      </c>
      <c r="D320" s="555">
        <f>G349+U349+AD349</f>
        <v>380.35</v>
      </c>
      <c r="F320" s="32"/>
      <c r="G320" s="77"/>
      <c r="H320" s="77"/>
      <c r="I320" s="77"/>
      <c r="J320" s="77"/>
    </row>
    <row r="321" spans="1:10" x14ac:dyDescent="0.25">
      <c r="A321" s="980" t="s">
        <v>437</v>
      </c>
      <c r="B321" s="980" t="s">
        <v>434</v>
      </c>
      <c r="C321" s="556">
        <f>SUM(C322:C323)</f>
        <v>945.30479883199996</v>
      </c>
      <c r="D321" s="556">
        <f>SUM(D322:D323)</f>
        <v>1112.51</v>
      </c>
      <c r="F321" s="77"/>
      <c r="G321" s="77"/>
      <c r="H321" s="77"/>
      <c r="I321" s="77"/>
      <c r="J321" s="77"/>
    </row>
    <row r="322" spans="1:10" x14ac:dyDescent="0.25">
      <c r="A322" s="978" t="s">
        <v>54</v>
      </c>
      <c r="B322" s="979" t="s">
        <v>435</v>
      </c>
      <c r="C322" s="555">
        <f>F348+T348+AC348</f>
        <v>562.27372967199994</v>
      </c>
      <c r="D322" s="555">
        <f>H348+V348+AE348</f>
        <v>732.16</v>
      </c>
      <c r="F322" s="77"/>
      <c r="G322" s="77"/>
      <c r="H322" s="77"/>
      <c r="I322" s="77"/>
      <c r="J322" s="77"/>
    </row>
    <row r="323" spans="1:10" x14ac:dyDescent="0.25">
      <c r="A323" s="978" t="s">
        <v>309</v>
      </c>
      <c r="B323" s="979" t="s">
        <v>435</v>
      </c>
      <c r="C323" s="555">
        <f>E349+S349+AB349</f>
        <v>383.03106916000002</v>
      </c>
      <c r="D323" s="555">
        <f>H349+V349+AE349</f>
        <v>380.35</v>
      </c>
      <c r="E323" s="77"/>
      <c r="F323" s="77"/>
      <c r="G323" s="77"/>
      <c r="H323" s="77"/>
    </row>
    <row r="324" spans="1:10" x14ac:dyDescent="0.25">
      <c r="A324" s="544" t="s">
        <v>438</v>
      </c>
      <c r="B324" s="544" t="s">
        <v>434</v>
      </c>
      <c r="C324" s="554">
        <f>SUM(C326:C335)</f>
        <v>12541.599507999999</v>
      </c>
      <c r="D324" s="554">
        <f>SUM(D326:D335)</f>
        <v>16195.8</v>
      </c>
      <c r="E324" s="77"/>
      <c r="F324" s="77"/>
      <c r="G324" s="77"/>
      <c r="H324" s="77"/>
    </row>
    <row r="325" spans="1:10" x14ac:dyDescent="0.25">
      <c r="A325" s="979" t="s">
        <v>439</v>
      </c>
      <c r="B325" s="979" t="s">
        <v>435</v>
      </c>
      <c r="C325" s="557"/>
      <c r="D325" s="707"/>
      <c r="E325" s="77"/>
      <c r="F325" s="77"/>
      <c r="G325" s="77"/>
      <c r="H325" s="77"/>
    </row>
    <row r="326" spans="1:10" x14ac:dyDescent="0.25">
      <c r="A326" s="1114" t="s">
        <v>440</v>
      </c>
      <c r="B326" s="979" t="s">
        <v>435</v>
      </c>
      <c r="C326" s="555">
        <f>E352+S352+AB352</f>
        <v>1142.21</v>
      </c>
      <c r="D326" s="555">
        <f t="shared" ref="D326:D332" si="23">G352+U352+AD352</f>
        <v>702.14</v>
      </c>
      <c r="E326" s="77"/>
      <c r="F326" s="77"/>
      <c r="G326" s="77"/>
      <c r="H326" s="77"/>
    </row>
    <row r="327" spans="1:10" x14ac:dyDescent="0.25">
      <c r="A327" s="979" t="s">
        <v>441</v>
      </c>
      <c r="B327" s="979" t="s">
        <v>435</v>
      </c>
      <c r="C327" s="555">
        <f>E353+S353+AB353</f>
        <v>155.82999999999998</v>
      </c>
      <c r="D327" s="555">
        <f t="shared" si="23"/>
        <v>537.48</v>
      </c>
      <c r="E327" s="77"/>
      <c r="F327" s="77"/>
      <c r="G327" s="77"/>
      <c r="H327" s="77"/>
    </row>
    <row r="328" spans="1:10" x14ac:dyDescent="0.25">
      <c r="A328" s="1114" t="s">
        <v>442</v>
      </c>
      <c r="B328" s="979" t="s">
        <v>435</v>
      </c>
      <c r="C328" s="555">
        <f t="shared" ref="C328:C332" si="24">E354+S354+AB354</f>
        <v>372.69</v>
      </c>
      <c r="D328" s="555">
        <f t="shared" si="23"/>
        <v>367.50999999999993</v>
      </c>
      <c r="E328" s="77"/>
      <c r="F328" s="77"/>
      <c r="G328" s="77"/>
      <c r="H328" s="77"/>
    </row>
    <row r="329" spans="1:10" x14ac:dyDescent="0.25">
      <c r="A329" s="1114" t="s">
        <v>443</v>
      </c>
      <c r="B329" s="979" t="s">
        <v>435</v>
      </c>
      <c r="C329" s="555">
        <f>E355+S355+AB355</f>
        <v>1040.6100000000001</v>
      </c>
      <c r="D329" s="555">
        <f t="shared" si="23"/>
        <v>572.61</v>
      </c>
      <c r="E329" s="77"/>
      <c r="F329" s="77"/>
      <c r="G329" s="77"/>
      <c r="H329" s="77"/>
    </row>
    <row r="330" spans="1:10" x14ac:dyDescent="0.25">
      <c r="A330" s="979" t="s">
        <v>444</v>
      </c>
      <c r="B330" s="979" t="s">
        <v>435</v>
      </c>
      <c r="C330" s="555">
        <f>E356+S356+AB356</f>
        <v>5599.7</v>
      </c>
      <c r="D330" s="555">
        <f t="shared" si="23"/>
        <v>11289.6</v>
      </c>
      <c r="E330" s="77"/>
      <c r="F330" s="77"/>
      <c r="G330" s="77"/>
      <c r="H330" s="77"/>
    </row>
    <row r="331" spans="1:10" x14ac:dyDescent="0.25">
      <c r="A331" s="979" t="s">
        <v>445</v>
      </c>
      <c r="B331" s="979" t="s">
        <v>435</v>
      </c>
      <c r="C331" s="555">
        <f t="shared" si="24"/>
        <v>3503.55</v>
      </c>
      <c r="D331" s="555">
        <f>G357+U357+AD357</f>
        <v>1973.06</v>
      </c>
      <c r="E331" s="77"/>
      <c r="F331" s="77"/>
      <c r="G331" s="77"/>
      <c r="H331" s="77"/>
    </row>
    <row r="332" spans="1:10" x14ac:dyDescent="0.25">
      <c r="A332" s="978" t="s">
        <v>446</v>
      </c>
      <c r="B332" s="979" t="s">
        <v>435</v>
      </c>
      <c r="C332" s="555">
        <f t="shared" si="24"/>
        <v>362.08000000000004</v>
      </c>
      <c r="D332" s="555">
        <f t="shared" si="23"/>
        <v>534.98</v>
      </c>
      <c r="E332" s="77"/>
      <c r="F332" s="77"/>
      <c r="G332" s="77"/>
      <c r="H332" s="77"/>
    </row>
    <row r="333" spans="1:10" x14ac:dyDescent="0.25">
      <c r="A333" s="978" t="s">
        <v>447</v>
      </c>
      <c r="B333" s="979" t="s">
        <v>435</v>
      </c>
      <c r="C333" s="555">
        <f>E359+S359</f>
        <v>97.16</v>
      </c>
      <c r="D333" s="555">
        <f>G359+U359</f>
        <v>20.810000000000002</v>
      </c>
      <c r="E333" s="77"/>
      <c r="F333" s="77"/>
      <c r="G333" s="77"/>
      <c r="H333" s="77"/>
    </row>
    <row r="334" spans="1:10" x14ac:dyDescent="0.25">
      <c r="A334" s="978" t="s">
        <v>448</v>
      </c>
      <c r="B334" s="979" t="s">
        <v>435</v>
      </c>
      <c r="C334" s="555">
        <f>E360+S360+AB360+E361</f>
        <v>52.74</v>
      </c>
      <c r="D334" s="555">
        <f>G360+U360+AD360+G361</f>
        <v>62</v>
      </c>
      <c r="E334" s="77"/>
      <c r="F334" s="77"/>
      <c r="G334" s="77"/>
      <c r="H334" s="77"/>
    </row>
    <row r="335" spans="1:10" x14ac:dyDescent="0.25">
      <c r="A335" s="978" t="s">
        <v>449</v>
      </c>
      <c r="B335" s="979" t="s">
        <v>435</v>
      </c>
      <c r="C335" s="555">
        <f>E362+S361+AB361</f>
        <v>215.02950800000002</v>
      </c>
      <c r="D335" s="555">
        <f>G362+U361+AD361</f>
        <v>135.61000000000001</v>
      </c>
      <c r="E335" s="77"/>
      <c r="F335" s="77"/>
      <c r="G335" s="77"/>
      <c r="H335" s="77"/>
    </row>
    <row r="336" spans="1:10" x14ac:dyDescent="0.25">
      <c r="A336" s="544" t="s">
        <v>316</v>
      </c>
      <c r="B336" s="544" t="s">
        <v>434</v>
      </c>
      <c r="C336" s="554">
        <f>C324+C318+C315</f>
        <v>13278.279012831999</v>
      </c>
      <c r="D336" s="554">
        <f>D324+D318+D315</f>
        <v>16920.18</v>
      </c>
      <c r="E336" s="77"/>
      <c r="F336" s="77"/>
      <c r="G336" s="77"/>
      <c r="H336" s="77"/>
    </row>
    <row r="337" spans="1:31" x14ac:dyDescent="0.25">
      <c r="A337" s="980" t="s">
        <v>450</v>
      </c>
      <c r="B337" s="980" t="s">
        <v>451</v>
      </c>
      <c r="C337" s="556">
        <f>C336/Employees!D8</f>
        <v>11.262323166100085</v>
      </c>
      <c r="D337" s="1343">
        <f>D336/Employees!E8</f>
        <v>14.855294117647059</v>
      </c>
      <c r="E337" s="77"/>
      <c r="F337" s="77"/>
      <c r="G337" s="77"/>
      <c r="H337" s="77"/>
    </row>
    <row r="338" spans="1:31" ht="15.75" customHeight="1" x14ac:dyDescent="0.25"/>
    <row r="339" spans="1:31" ht="36" customHeight="1" x14ac:dyDescent="0.25">
      <c r="A339" s="1532" t="s">
        <v>452</v>
      </c>
      <c r="B339" s="1532"/>
      <c r="C339" s="1532"/>
      <c r="D339" s="1532"/>
      <c r="E339" s="1532"/>
      <c r="F339" s="1532"/>
      <c r="G339" s="1532"/>
      <c r="H339" s="1532"/>
      <c r="I339" s="1532"/>
      <c r="J339" s="1532"/>
      <c r="K339" s="948" t="s">
        <v>301</v>
      </c>
      <c r="L339" s="948" t="s">
        <v>301</v>
      </c>
      <c r="M339" s="1115" t="s">
        <v>301</v>
      </c>
      <c r="N339" s="948"/>
      <c r="O339" s="948"/>
      <c r="P339" s="967" t="s">
        <v>301</v>
      </c>
      <c r="Q339" s="1532" t="s">
        <v>453</v>
      </c>
      <c r="R339" s="1532"/>
      <c r="S339" s="1532"/>
      <c r="T339" s="1532"/>
      <c r="U339" s="1532"/>
      <c r="V339" s="1532"/>
      <c r="W339" s="948"/>
      <c r="X339" s="948"/>
      <c r="Y339" s="967" t="s">
        <v>301</v>
      </c>
      <c r="Z339" s="1532" t="s">
        <v>454</v>
      </c>
      <c r="AA339" s="1532"/>
      <c r="AB339" s="1532"/>
      <c r="AC339" s="1532"/>
      <c r="AD339" s="948"/>
      <c r="AE339" s="948"/>
    </row>
    <row r="340" spans="1:31" x14ac:dyDescent="0.25">
      <c r="A340" s="1116" t="s">
        <v>301</v>
      </c>
      <c r="B340" s="1117" t="s">
        <v>455</v>
      </c>
      <c r="C340" s="1117" t="s">
        <v>456</v>
      </c>
      <c r="D340" s="1117" t="s">
        <v>301</v>
      </c>
      <c r="E340" s="1556">
        <v>2023</v>
      </c>
      <c r="F340" s="1519"/>
      <c r="G340" s="1556">
        <v>2022</v>
      </c>
      <c r="H340" s="1519"/>
      <c r="I340" s="1118">
        <v>2021</v>
      </c>
      <c r="J340" s="1119"/>
      <c r="K340" s="1118">
        <v>2020</v>
      </c>
      <c r="L340" s="1119"/>
      <c r="M340" s="1117" t="s">
        <v>457</v>
      </c>
      <c r="N340" s="1117" t="s">
        <v>458</v>
      </c>
      <c r="O340" s="1117" t="s">
        <v>459</v>
      </c>
      <c r="P340" s="1120"/>
      <c r="Q340" s="1121" t="s">
        <v>301</v>
      </c>
      <c r="R340" s="1122" t="s">
        <v>301</v>
      </c>
      <c r="S340" s="1533">
        <v>2023</v>
      </c>
      <c r="T340" s="1533"/>
      <c r="U340" s="1535">
        <v>2022</v>
      </c>
      <c r="V340" s="1536"/>
      <c r="W340" s="1123">
        <v>2021</v>
      </c>
      <c r="X340" s="1124"/>
      <c r="Y340" s="1125" t="s">
        <v>301</v>
      </c>
      <c r="Z340" s="1121" t="s">
        <v>301</v>
      </c>
      <c r="AA340" s="1122" t="s">
        <v>301</v>
      </c>
      <c r="AB340" s="1533">
        <v>2023</v>
      </c>
      <c r="AC340" s="1533"/>
      <c r="AD340" s="1518">
        <v>2022</v>
      </c>
      <c r="AE340" s="1519"/>
    </row>
    <row r="341" spans="1:31" x14ac:dyDescent="0.25">
      <c r="A341" s="1092" t="s">
        <v>301</v>
      </c>
      <c r="B341" s="965" t="s">
        <v>301</v>
      </c>
      <c r="C341" s="965" t="s">
        <v>301</v>
      </c>
      <c r="D341" s="965" t="s">
        <v>22</v>
      </c>
      <c r="E341" s="1126" t="s">
        <v>460</v>
      </c>
      <c r="F341" s="1126" t="s">
        <v>461</v>
      </c>
      <c r="G341" s="1126" t="s">
        <v>460</v>
      </c>
      <c r="H341" s="1126" t="s">
        <v>461</v>
      </c>
      <c r="I341" s="1126" t="s">
        <v>460</v>
      </c>
      <c r="J341" s="1126" t="s">
        <v>461</v>
      </c>
      <c r="K341" s="1126" t="s">
        <v>460</v>
      </c>
      <c r="L341" s="1126" t="s">
        <v>461</v>
      </c>
      <c r="M341" s="1126" t="s">
        <v>301</v>
      </c>
      <c r="N341" s="1126" t="s">
        <v>301</v>
      </c>
      <c r="O341" s="1126" t="s">
        <v>301</v>
      </c>
      <c r="P341" s="967"/>
      <c r="Q341" s="1092" t="s">
        <v>301</v>
      </c>
      <c r="R341" s="965" t="s">
        <v>22</v>
      </c>
      <c r="S341" s="1126" t="s">
        <v>460</v>
      </c>
      <c r="T341" s="1126" t="s">
        <v>461</v>
      </c>
      <c r="U341" s="1126" t="s">
        <v>460</v>
      </c>
      <c r="V341" s="1126" t="s">
        <v>461</v>
      </c>
      <c r="W341" s="1126" t="s">
        <v>460</v>
      </c>
      <c r="X341" s="1127" t="s">
        <v>461</v>
      </c>
      <c r="Y341" s="1128" t="s">
        <v>301</v>
      </c>
      <c r="Z341" s="1092" t="s">
        <v>301</v>
      </c>
      <c r="AA341" s="965" t="s">
        <v>22</v>
      </c>
      <c r="AB341" s="1126" t="s">
        <v>460</v>
      </c>
      <c r="AC341" s="1126" t="s">
        <v>461</v>
      </c>
      <c r="AD341" s="1126" t="s">
        <v>460</v>
      </c>
      <c r="AE341" s="1126" t="s">
        <v>461</v>
      </c>
    </row>
    <row r="342" spans="1:31" ht="25.5" x14ac:dyDescent="0.25">
      <c r="A342" s="1111" t="s">
        <v>462</v>
      </c>
      <c r="B342" s="1112" t="s">
        <v>301</v>
      </c>
      <c r="C342" s="1112" t="s">
        <v>301</v>
      </c>
      <c r="D342" s="1112" t="s">
        <v>463</v>
      </c>
      <c r="E342" s="1129">
        <f>E344+E347+E350</f>
        <v>8042.14</v>
      </c>
      <c r="F342" s="1129">
        <f>F344+F347+F350</f>
        <v>8416.93</v>
      </c>
      <c r="G342" s="1129">
        <v>16874.89</v>
      </c>
      <c r="H342" s="1130">
        <v>17337.810000000001</v>
      </c>
      <c r="I342" s="1129">
        <v>1135.77</v>
      </c>
      <c r="J342" s="1129">
        <v>2338.91</v>
      </c>
      <c r="K342" s="1131">
        <v>564.73</v>
      </c>
      <c r="L342" s="1132" t="s">
        <v>464</v>
      </c>
      <c r="M342" s="1132" t="s">
        <v>301</v>
      </c>
      <c r="N342" s="1132" t="s">
        <v>301</v>
      </c>
      <c r="O342" s="1132" t="s">
        <v>301</v>
      </c>
      <c r="P342" s="967"/>
      <c r="Q342" s="1111" t="s">
        <v>465</v>
      </c>
      <c r="R342" s="1112" t="s">
        <v>463</v>
      </c>
      <c r="S342" s="1112">
        <f>S344+S347+S350</f>
        <v>155.67513</v>
      </c>
      <c r="T342" s="1112">
        <f>T344+T347+T350</f>
        <v>163.00513000000001</v>
      </c>
      <c r="U342" s="1112">
        <v>163.44999999999999</v>
      </c>
      <c r="V342" s="1112">
        <v>183.3</v>
      </c>
      <c r="W342" s="1132">
        <v>62.21</v>
      </c>
      <c r="X342" s="1132">
        <v>116.11</v>
      </c>
      <c r="Y342" s="967"/>
      <c r="Z342" s="1111" t="s">
        <v>465</v>
      </c>
      <c r="AA342" s="1112" t="s">
        <v>463</v>
      </c>
      <c r="AB342" s="1133">
        <f>AB344+AB347+AB350</f>
        <v>5080.4638828319994</v>
      </c>
      <c r="AC342" s="1133">
        <f>AC344+AC347+AC350</f>
        <v>5080.4638828319994</v>
      </c>
      <c r="AD342" s="1133">
        <v>7099.7</v>
      </c>
      <c r="AE342" s="1133">
        <v>7099.7</v>
      </c>
    </row>
    <row r="343" spans="1:31" ht="25.5" x14ac:dyDescent="0.25">
      <c r="A343" s="1092" t="s">
        <v>466</v>
      </c>
      <c r="B343" s="965"/>
      <c r="C343" s="965" t="s">
        <v>467</v>
      </c>
      <c r="D343" s="965" t="s">
        <v>468</v>
      </c>
      <c r="E343" s="976">
        <f>E342/Employees!D8</f>
        <v>6.821153519932146</v>
      </c>
      <c r="F343" s="976">
        <f>F342/Employees!D8</f>
        <v>7.139041560644614</v>
      </c>
      <c r="G343" s="965">
        <v>14.82</v>
      </c>
      <c r="H343" s="965">
        <v>15.22</v>
      </c>
      <c r="I343" s="965">
        <v>1.06</v>
      </c>
      <c r="J343" s="965">
        <v>2.19</v>
      </c>
      <c r="K343" s="965">
        <v>0.53</v>
      </c>
      <c r="L343" s="965" t="s">
        <v>464</v>
      </c>
      <c r="M343" s="966" t="s">
        <v>301</v>
      </c>
      <c r="N343" s="966" t="s">
        <v>301</v>
      </c>
      <c r="O343" s="965" t="s">
        <v>301</v>
      </c>
      <c r="P343" s="967"/>
      <c r="Q343" s="1106" t="s">
        <v>466</v>
      </c>
      <c r="R343" s="965" t="s">
        <v>468</v>
      </c>
      <c r="S343" s="965">
        <f>S342/Employees!D22</f>
        <v>1.8756039759036145</v>
      </c>
      <c r="T343" s="965">
        <f>T342/Employees!D22</f>
        <v>1.9639172289156628</v>
      </c>
      <c r="U343" s="965">
        <v>1.82</v>
      </c>
      <c r="V343" s="965">
        <v>2.04</v>
      </c>
      <c r="W343" s="965">
        <v>0.68</v>
      </c>
      <c r="X343" s="965">
        <v>1.27</v>
      </c>
      <c r="Y343" s="967"/>
      <c r="Z343" s="1106" t="s">
        <v>466</v>
      </c>
      <c r="AA343" s="965" t="s">
        <v>468</v>
      </c>
      <c r="AB343" s="976">
        <f>AB342/Employees!D31</f>
        <v>8.4677220621220695</v>
      </c>
      <c r="AC343" s="976">
        <f>AC342/Employees!D31</f>
        <v>8.4677220621220695</v>
      </c>
      <c r="AD343" s="965">
        <v>11.29</v>
      </c>
      <c r="AE343" s="965">
        <v>11.29</v>
      </c>
    </row>
    <row r="344" spans="1:31" ht="25.5" x14ac:dyDescent="0.25">
      <c r="A344" s="1134" t="s">
        <v>469</v>
      </c>
      <c r="B344" s="1132" t="s">
        <v>301</v>
      </c>
      <c r="C344" s="1132" t="s">
        <v>301</v>
      </c>
      <c r="D344" s="1132" t="s">
        <v>463</v>
      </c>
      <c r="E344" s="1132">
        <f>SUM(E345:E346)</f>
        <v>29.97</v>
      </c>
      <c r="F344" s="1132">
        <f>SUM(F345:F346)</f>
        <v>29.97</v>
      </c>
      <c r="G344" s="1132">
        <v>36.36</v>
      </c>
      <c r="H344" s="1132">
        <v>36.36</v>
      </c>
      <c r="I344" s="1132">
        <v>38.29</v>
      </c>
      <c r="J344" s="1132">
        <v>38.29</v>
      </c>
      <c r="K344" s="1131">
        <v>47.91</v>
      </c>
      <c r="L344" s="1132" t="s">
        <v>464</v>
      </c>
      <c r="M344" s="1132" t="s">
        <v>301</v>
      </c>
      <c r="N344" s="1132" t="s">
        <v>301</v>
      </c>
      <c r="O344" s="1132" t="s">
        <v>301</v>
      </c>
      <c r="P344" s="967"/>
      <c r="Q344" s="1111" t="s">
        <v>469</v>
      </c>
      <c r="R344" s="1132" t="s">
        <v>463</v>
      </c>
      <c r="S344" s="1132">
        <f>SUM(S345:S346)</f>
        <v>20.93</v>
      </c>
      <c r="T344" s="1132">
        <f>SUM(T345:T346)</f>
        <v>20.93</v>
      </c>
      <c r="U344" s="1132">
        <v>37.1</v>
      </c>
      <c r="V344" s="1132">
        <v>37.1</v>
      </c>
      <c r="W344" s="1132">
        <v>0</v>
      </c>
      <c r="X344" s="1132">
        <v>0</v>
      </c>
      <c r="Y344" s="967"/>
      <c r="Z344" s="1111" t="s">
        <v>469</v>
      </c>
      <c r="AA344" s="1132" t="s">
        <v>463</v>
      </c>
      <c r="AB344" s="1135">
        <f>SUM(AB345:AB346)</f>
        <v>122.594706</v>
      </c>
      <c r="AC344" s="1135">
        <f>SUM(AC345:AC346)</f>
        <v>122.594706</v>
      </c>
      <c r="AD344" s="1132">
        <v>57.53</v>
      </c>
      <c r="AE344" s="1132">
        <v>57.53</v>
      </c>
    </row>
    <row r="345" spans="1:31" ht="48" x14ac:dyDescent="0.25">
      <c r="A345" s="964" t="s">
        <v>306</v>
      </c>
      <c r="B345" s="965" t="s">
        <v>470</v>
      </c>
      <c r="C345" s="965" t="s">
        <v>471</v>
      </c>
      <c r="D345" s="965" t="s">
        <v>472</v>
      </c>
      <c r="E345" s="965">
        <v>29.97</v>
      </c>
      <c r="F345" s="965">
        <v>29.97</v>
      </c>
      <c r="G345" s="965">
        <v>36.36</v>
      </c>
      <c r="H345" s="965">
        <v>36.36</v>
      </c>
      <c r="I345" s="965">
        <v>38.29</v>
      </c>
      <c r="J345" s="965">
        <v>38.29</v>
      </c>
      <c r="K345" s="965">
        <v>36.200000000000003</v>
      </c>
      <c r="L345" s="965" t="s">
        <v>464</v>
      </c>
      <c r="M345" s="966" t="s">
        <v>473</v>
      </c>
      <c r="N345" s="966" t="s">
        <v>474</v>
      </c>
      <c r="O345" s="966" t="s">
        <v>475</v>
      </c>
      <c r="P345" s="967"/>
      <c r="Q345" s="975" t="s">
        <v>476</v>
      </c>
      <c r="R345" s="965" t="s">
        <v>472</v>
      </c>
      <c r="S345" s="965">
        <v>20.93</v>
      </c>
      <c r="T345" s="965">
        <v>20.93</v>
      </c>
      <c r="U345" s="965">
        <v>37.1</v>
      </c>
      <c r="V345" s="965">
        <v>37.1</v>
      </c>
      <c r="W345" s="1136" t="s">
        <v>62</v>
      </c>
      <c r="X345" s="1136" t="s">
        <v>62</v>
      </c>
      <c r="Y345" s="967"/>
      <c r="Z345" s="975" t="s">
        <v>476</v>
      </c>
      <c r="AA345" s="965" t="s">
        <v>472</v>
      </c>
      <c r="AB345" s="976">
        <v>122.594706</v>
      </c>
      <c r="AC345" s="976">
        <v>122.594706</v>
      </c>
      <c r="AD345" s="965">
        <v>57.53</v>
      </c>
      <c r="AE345" s="965">
        <v>57.53</v>
      </c>
    </row>
    <row r="346" spans="1:31" x14ac:dyDescent="0.25">
      <c r="A346" s="973" t="s">
        <v>307</v>
      </c>
      <c r="B346" s="972" t="s">
        <v>301</v>
      </c>
      <c r="C346" s="972" t="s">
        <v>301</v>
      </c>
      <c r="D346" s="969" t="s">
        <v>472</v>
      </c>
      <c r="E346" s="969" t="s">
        <v>477</v>
      </c>
      <c r="F346" s="970" t="s">
        <v>62</v>
      </c>
      <c r="G346" s="970" t="s">
        <v>62</v>
      </c>
      <c r="H346" s="969" t="s">
        <v>477</v>
      </c>
      <c r="I346" s="969" t="s">
        <v>478</v>
      </c>
      <c r="J346" s="969" t="s">
        <v>479</v>
      </c>
      <c r="K346" s="969">
        <v>11.71</v>
      </c>
      <c r="L346" s="969" t="s">
        <v>464</v>
      </c>
      <c r="M346" s="969" t="s">
        <v>301</v>
      </c>
      <c r="N346" s="969" t="s">
        <v>301</v>
      </c>
      <c r="O346" s="969" t="s">
        <v>301</v>
      </c>
      <c r="P346" s="967"/>
      <c r="Q346" s="973" t="s">
        <v>480</v>
      </c>
      <c r="R346" s="969" t="s">
        <v>472</v>
      </c>
      <c r="S346" s="969">
        <v>0</v>
      </c>
      <c r="T346" s="969">
        <v>0</v>
      </c>
      <c r="U346" s="969">
        <v>0</v>
      </c>
      <c r="V346" s="969">
        <v>0</v>
      </c>
      <c r="W346" s="969">
        <v>0</v>
      </c>
      <c r="X346" s="969">
        <v>0</v>
      </c>
      <c r="Y346" s="967"/>
      <c r="Z346" s="973" t="s">
        <v>480</v>
      </c>
      <c r="AA346" s="969" t="s">
        <v>472</v>
      </c>
      <c r="AB346" s="969">
        <v>0</v>
      </c>
      <c r="AC346" s="969">
        <v>0</v>
      </c>
      <c r="AD346" s="969">
        <v>0</v>
      </c>
      <c r="AE346" s="969">
        <v>0</v>
      </c>
    </row>
    <row r="347" spans="1:31" ht="25.5" x14ac:dyDescent="0.25">
      <c r="A347" s="1137" t="s">
        <v>481</v>
      </c>
      <c r="B347" s="965"/>
      <c r="C347" s="965"/>
      <c r="D347" s="1138" t="s">
        <v>463</v>
      </c>
      <c r="E347" s="1138">
        <f>SUM(E348:E349)</f>
        <v>236.62</v>
      </c>
      <c r="F347" s="1138">
        <f>SUM(F348:F349)</f>
        <v>611.41000000000008</v>
      </c>
      <c r="G347" s="1138">
        <v>191.81</v>
      </c>
      <c r="H347" s="1138">
        <v>691.08</v>
      </c>
      <c r="I347" s="1138">
        <v>291.42</v>
      </c>
      <c r="J347" s="1139">
        <v>1494.56</v>
      </c>
      <c r="K347" s="1138">
        <v>376.06</v>
      </c>
      <c r="L347" s="1138" t="s">
        <v>464</v>
      </c>
      <c r="M347" s="1138" t="s">
        <v>301</v>
      </c>
      <c r="N347" s="1138" t="s">
        <v>301</v>
      </c>
      <c r="O347" s="1138" t="s">
        <v>301</v>
      </c>
      <c r="P347" s="967"/>
      <c r="Q347" s="1140" t="s">
        <v>481</v>
      </c>
      <c r="R347" s="1138" t="s">
        <v>463</v>
      </c>
      <c r="S347" s="1138">
        <f>SUM(S348:S349)</f>
        <v>4.83</v>
      </c>
      <c r="T347" s="1138">
        <f>SUM(T348:T349)</f>
        <v>12.16</v>
      </c>
      <c r="U347" s="1138">
        <v>4.5</v>
      </c>
      <c r="V347" s="1138">
        <v>24.35</v>
      </c>
      <c r="W347" s="1138">
        <v>8.1</v>
      </c>
      <c r="X347" s="1138">
        <v>62</v>
      </c>
      <c r="Y347" s="967"/>
      <c r="Z347" s="1140" t="s">
        <v>481</v>
      </c>
      <c r="AA347" s="1138" t="s">
        <v>463</v>
      </c>
      <c r="AB347" s="1141">
        <f>SUM(AB348:AB349)</f>
        <v>321.73479883200002</v>
      </c>
      <c r="AC347" s="1141">
        <f>SUM(AC348:AC349)</f>
        <v>321.73479883200002</v>
      </c>
      <c r="AD347" s="1138">
        <v>397.08</v>
      </c>
      <c r="AE347" s="1138">
        <v>397.08</v>
      </c>
    </row>
    <row r="348" spans="1:31" ht="36" x14ac:dyDescent="0.25">
      <c r="A348" s="968" t="s">
        <v>54</v>
      </c>
      <c r="B348" s="969" t="s">
        <v>482</v>
      </c>
      <c r="C348" s="969" t="s">
        <v>483</v>
      </c>
      <c r="D348" s="969" t="s">
        <v>472</v>
      </c>
      <c r="E348" s="969" t="s">
        <v>477</v>
      </c>
      <c r="F348" s="969">
        <v>374.79</v>
      </c>
      <c r="G348" s="970" t="s">
        <v>477</v>
      </c>
      <c r="H348" s="969">
        <v>499.27</v>
      </c>
      <c r="I348" s="969" t="s">
        <v>478</v>
      </c>
      <c r="J348" s="971">
        <v>1203.1400000000001</v>
      </c>
      <c r="K348" s="969" t="s">
        <v>479</v>
      </c>
      <c r="L348" s="969" t="s">
        <v>464</v>
      </c>
      <c r="M348" s="972" t="s">
        <v>484</v>
      </c>
      <c r="N348" s="972" t="s">
        <v>485</v>
      </c>
      <c r="O348" s="972" t="s">
        <v>486</v>
      </c>
      <c r="P348" s="967"/>
      <c r="Q348" s="973" t="s">
        <v>487</v>
      </c>
      <c r="R348" s="969" t="s">
        <v>472</v>
      </c>
      <c r="S348" s="969"/>
      <c r="T348" s="969">
        <v>7.33</v>
      </c>
      <c r="U348" s="969" t="s">
        <v>488</v>
      </c>
      <c r="V348" s="969">
        <v>19.850000000000001</v>
      </c>
      <c r="W348" s="969">
        <v>0</v>
      </c>
      <c r="X348" s="969">
        <v>53.9</v>
      </c>
      <c r="Y348" s="967"/>
      <c r="Z348" s="973" t="s">
        <v>487</v>
      </c>
      <c r="AA348" s="969" t="s">
        <v>472</v>
      </c>
      <c r="AB348" s="974">
        <v>180.15372967199997</v>
      </c>
      <c r="AC348" s="974">
        <v>180.15372967199997</v>
      </c>
      <c r="AD348" s="969">
        <v>213.04</v>
      </c>
      <c r="AE348" s="969">
        <v>213.04</v>
      </c>
    </row>
    <row r="349" spans="1:31" ht="84" x14ac:dyDescent="0.25">
      <c r="A349" s="964" t="s">
        <v>309</v>
      </c>
      <c r="B349" s="965" t="s">
        <v>489</v>
      </c>
      <c r="C349" s="965" t="s">
        <v>490</v>
      </c>
      <c r="D349" s="965" t="s">
        <v>472</v>
      </c>
      <c r="E349" s="965">
        <v>236.62</v>
      </c>
      <c r="F349" s="965">
        <v>236.62</v>
      </c>
      <c r="G349" s="965">
        <v>191.81</v>
      </c>
      <c r="H349" s="965">
        <v>191.81</v>
      </c>
      <c r="I349" s="965">
        <v>291.42</v>
      </c>
      <c r="J349" s="965">
        <v>291.42</v>
      </c>
      <c r="K349" s="965">
        <v>376.06</v>
      </c>
      <c r="L349" s="965" t="s">
        <v>464</v>
      </c>
      <c r="M349" s="966" t="s">
        <v>491</v>
      </c>
      <c r="N349" s="966" t="s">
        <v>492</v>
      </c>
      <c r="O349" s="966" t="s">
        <v>493</v>
      </c>
      <c r="P349" s="967"/>
      <c r="Q349" s="975" t="s">
        <v>494</v>
      </c>
      <c r="R349" s="965" t="s">
        <v>472</v>
      </c>
      <c r="S349" s="965">
        <v>4.83</v>
      </c>
      <c r="T349" s="965">
        <v>4.83</v>
      </c>
      <c r="U349" s="965">
        <v>4.5</v>
      </c>
      <c r="V349" s="965">
        <v>4.5</v>
      </c>
      <c r="W349" s="965">
        <v>8.1</v>
      </c>
      <c r="X349" s="965">
        <v>8.1</v>
      </c>
      <c r="Y349" s="967"/>
      <c r="Z349" s="975" t="s">
        <v>494</v>
      </c>
      <c r="AA349" s="965" t="s">
        <v>472</v>
      </c>
      <c r="AB349" s="976">
        <v>141.58106916000003</v>
      </c>
      <c r="AC349" s="976">
        <v>141.58106916000003</v>
      </c>
      <c r="AD349" s="965">
        <v>184.04</v>
      </c>
      <c r="AE349" s="965">
        <v>184.04</v>
      </c>
    </row>
    <row r="350" spans="1:31" ht="24" x14ac:dyDescent="0.25">
      <c r="A350" s="1111" t="s">
        <v>438</v>
      </c>
      <c r="B350" s="1112" t="s">
        <v>301</v>
      </c>
      <c r="C350" s="1112" t="s">
        <v>301</v>
      </c>
      <c r="D350" s="1132" t="s">
        <v>463</v>
      </c>
      <c r="E350" s="1129">
        <f t="shared" ref="E350:K350" si="25">SUM(E351:E362)</f>
        <v>7775.55</v>
      </c>
      <c r="F350" s="1129">
        <f t="shared" si="25"/>
        <v>7775.55</v>
      </c>
      <c r="G350" s="1129">
        <f t="shared" si="25"/>
        <v>9428.85</v>
      </c>
      <c r="H350" s="1129">
        <f t="shared" si="25"/>
        <v>9428.85</v>
      </c>
      <c r="I350" s="1129">
        <f t="shared" si="25"/>
        <v>806.07</v>
      </c>
      <c r="J350" s="1129">
        <f t="shared" si="25"/>
        <v>806.07</v>
      </c>
      <c r="K350" s="1129">
        <f t="shared" si="25"/>
        <v>140.76</v>
      </c>
      <c r="L350" s="1132" t="s">
        <v>464</v>
      </c>
      <c r="M350" s="1132" t="s">
        <v>301</v>
      </c>
      <c r="N350" s="1132" t="s">
        <v>301</v>
      </c>
      <c r="O350" s="1132" t="s">
        <v>301</v>
      </c>
      <c r="P350" s="967"/>
      <c r="Q350" s="1111" t="s">
        <v>438</v>
      </c>
      <c r="R350" s="1132" t="s">
        <v>463</v>
      </c>
      <c r="S350" s="1135">
        <f>SUM(S351:S361)</f>
        <v>129.91513</v>
      </c>
      <c r="T350" s="1135">
        <f>SUM(T351:T361)</f>
        <v>129.91513</v>
      </c>
      <c r="U350" s="1132">
        <v>121.85</v>
      </c>
      <c r="V350" s="1132">
        <v>121.85</v>
      </c>
      <c r="W350" s="1132">
        <v>54.11</v>
      </c>
      <c r="X350" s="1132">
        <v>54.11</v>
      </c>
      <c r="Y350" s="967"/>
      <c r="Z350" s="1111" t="s">
        <v>438</v>
      </c>
      <c r="AA350" s="1132" t="s">
        <v>463</v>
      </c>
      <c r="AB350" s="1129">
        <f>SUM(AB352:AB361)</f>
        <v>4636.1343779999997</v>
      </c>
      <c r="AC350" s="1129">
        <f>SUM(AC352:AC361)</f>
        <v>4636.1343779999997</v>
      </c>
      <c r="AD350" s="1129">
        <v>6645.1</v>
      </c>
      <c r="AE350" s="1129">
        <v>6645.1</v>
      </c>
    </row>
    <row r="351" spans="1:31" x14ac:dyDescent="0.25">
      <c r="A351" s="964" t="s">
        <v>495</v>
      </c>
      <c r="B351" s="965" t="s">
        <v>496</v>
      </c>
      <c r="C351" s="965" t="s">
        <v>497</v>
      </c>
      <c r="D351" s="965" t="s">
        <v>472</v>
      </c>
      <c r="E351" s="1142"/>
      <c r="F351" s="1142"/>
      <c r="G351" s="1142"/>
      <c r="H351" s="1142" t="s">
        <v>301</v>
      </c>
      <c r="I351" s="965">
        <v>573.79999999999995</v>
      </c>
      <c r="J351" s="965">
        <v>573.79999999999995</v>
      </c>
      <c r="K351" s="965" t="s">
        <v>464</v>
      </c>
      <c r="L351" s="965" t="s">
        <v>464</v>
      </c>
      <c r="M351" s="965" t="s">
        <v>301</v>
      </c>
      <c r="N351" s="965" t="s">
        <v>301</v>
      </c>
      <c r="O351" s="965" t="s">
        <v>301</v>
      </c>
      <c r="P351" s="967"/>
      <c r="Q351" s="1140" t="s">
        <v>301</v>
      </c>
      <c r="R351" s="1138" t="s">
        <v>301</v>
      </c>
      <c r="S351" s="1138"/>
      <c r="T351" s="1138"/>
      <c r="U351" s="1138" t="s">
        <v>301</v>
      </c>
      <c r="V351" s="1138" t="s">
        <v>301</v>
      </c>
      <c r="W351" s="1138" t="s">
        <v>301</v>
      </c>
      <c r="X351" s="1138" t="s">
        <v>301</v>
      </c>
      <c r="Y351" s="967"/>
      <c r="Z351" s="1140" t="s">
        <v>301</v>
      </c>
      <c r="AA351" s="1138" t="s">
        <v>301</v>
      </c>
      <c r="AB351" s="1138"/>
      <c r="AC351" s="1138"/>
      <c r="AD351" s="1138" t="s">
        <v>301</v>
      </c>
      <c r="AE351" s="1138" t="s">
        <v>301</v>
      </c>
    </row>
    <row r="352" spans="1:31" ht="24" x14ac:dyDescent="0.25">
      <c r="A352" s="1143" t="s">
        <v>498</v>
      </c>
      <c r="B352" s="1144" t="s">
        <v>496</v>
      </c>
      <c r="C352" s="1144" t="s">
        <v>497</v>
      </c>
      <c r="D352" s="1144" t="s">
        <v>472</v>
      </c>
      <c r="E352" s="1144">
        <v>260.62</v>
      </c>
      <c r="F352" s="1144">
        <v>260.62</v>
      </c>
      <c r="G352" s="1144">
        <v>276.51</v>
      </c>
      <c r="H352" s="1144">
        <v>276.51</v>
      </c>
      <c r="I352" s="1144" t="s">
        <v>464</v>
      </c>
      <c r="J352" s="1144" t="s">
        <v>464</v>
      </c>
      <c r="K352" s="1144" t="s">
        <v>464</v>
      </c>
      <c r="L352" s="1144" t="s">
        <v>301</v>
      </c>
      <c r="M352" s="1145" t="s">
        <v>499</v>
      </c>
      <c r="N352" s="1145" t="s">
        <v>500</v>
      </c>
      <c r="O352" s="1145" t="s">
        <v>501</v>
      </c>
      <c r="P352" s="967"/>
      <c r="Q352" s="1146" t="s">
        <v>502</v>
      </c>
      <c r="R352" s="1144" t="s">
        <v>472</v>
      </c>
      <c r="S352" s="1144">
        <v>19.53</v>
      </c>
      <c r="T352" s="1144">
        <v>19.53</v>
      </c>
      <c r="U352" s="1144">
        <v>17.190000000000001</v>
      </c>
      <c r="V352" s="1144">
        <v>17.190000000000001</v>
      </c>
      <c r="W352" s="1144" t="s">
        <v>301</v>
      </c>
      <c r="X352" s="1144" t="s">
        <v>301</v>
      </c>
      <c r="Y352" s="967"/>
      <c r="Z352" s="1146" t="s">
        <v>502</v>
      </c>
      <c r="AA352" s="1144" t="s">
        <v>472</v>
      </c>
      <c r="AB352" s="1147">
        <v>862.06</v>
      </c>
      <c r="AC352" s="1147">
        <v>862.06</v>
      </c>
      <c r="AD352" s="1147">
        <v>408.44</v>
      </c>
      <c r="AE352" s="1147">
        <v>408.44</v>
      </c>
    </row>
    <row r="353" spans="1:31" ht="24" x14ac:dyDescent="0.25">
      <c r="A353" s="1092" t="s">
        <v>503</v>
      </c>
      <c r="B353" s="965" t="s">
        <v>496</v>
      </c>
      <c r="C353" s="965" t="s">
        <v>497</v>
      </c>
      <c r="D353" s="965" t="s">
        <v>472</v>
      </c>
      <c r="E353" s="1142">
        <v>18.489999999999998</v>
      </c>
      <c r="F353" s="1142">
        <v>18.489999999999998</v>
      </c>
      <c r="G353" s="1142">
        <v>29.51</v>
      </c>
      <c r="H353" s="1142">
        <v>29.51</v>
      </c>
      <c r="I353" s="965" t="s">
        <v>464</v>
      </c>
      <c r="J353" s="965" t="s">
        <v>464</v>
      </c>
      <c r="K353" s="965" t="s">
        <v>464</v>
      </c>
      <c r="L353" s="965" t="s">
        <v>301</v>
      </c>
      <c r="M353" s="966" t="s">
        <v>504</v>
      </c>
      <c r="N353" s="966" t="s">
        <v>505</v>
      </c>
      <c r="O353" s="966" t="s">
        <v>506</v>
      </c>
      <c r="P353" s="967"/>
      <c r="Q353" s="1148" t="s">
        <v>507</v>
      </c>
      <c r="R353" s="965" t="s">
        <v>472</v>
      </c>
      <c r="S353" s="965">
        <v>20.37</v>
      </c>
      <c r="T353" s="965">
        <v>20.37</v>
      </c>
      <c r="U353" s="965">
        <v>22.52</v>
      </c>
      <c r="V353" s="965">
        <v>22.52</v>
      </c>
      <c r="W353" s="965" t="s">
        <v>301</v>
      </c>
      <c r="X353" s="965" t="s">
        <v>301</v>
      </c>
      <c r="Y353" s="967"/>
      <c r="Z353" s="1148" t="s">
        <v>507</v>
      </c>
      <c r="AA353" s="965" t="s">
        <v>472</v>
      </c>
      <c r="AB353" s="965">
        <v>116.97</v>
      </c>
      <c r="AC353" s="965">
        <v>116.97</v>
      </c>
      <c r="AD353" s="965">
        <v>485.45</v>
      </c>
      <c r="AE353" s="965">
        <v>485.45</v>
      </c>
    </row>
    <row r="354" spans="1:31" ht="24" x14ac:dyDescent="0.25">
      <c r="A354" s="1143" t="s">
        <v>508</v>
      </c>
      <c r="B354" s="1144" t="s">
        <v>496</v>
      </c>
      <c r="C354" s="1144" t="s">
        <v>497</v>
      </c>
      <c r="D354" s="1144" t="s">
        <v>472</v>
      </c>
      <c r="E354" s="1144">
        <v>249.23</v>
      </c>
      <c r="F354" s="1144">
        <v>249.23</v>
      </c>
      <c r="G354" s="1144">
        <v>330.77</v>
      </c>
      <c r="H354" s="1144">
        <v>330.77</v>
      </c>
      <c r="I354" s="1144" t="s">
        <v>464</v>
      </c>
      <c r="J354" s="1144" t="s">
        <v>464</v>
      </c>
      <c r="K354" s="1144" t="s">
        <v>464</v>
      </c>
      <c r="L354" s="1144" t="s">
        <v>301</v>
      </c>
      <c r="M354" s="1145" t="s">
        <v>499</v>
      </c>
      <c r="N354" s="1145" t="s">
        <v>500</v>
      </c>
      <c r="O354" s="1145" t="s">
        <v>501</v>
      </c>
      <c r="P354" s="967"/>
      <c r="Q354" s="1146" t="s">
        <v>509</v>
      </c>
      <c r="R354" s="1144" t="s">
        <v>472</v>
      </c>
      <c r="S354" s="1144">
        <v>2.1800000000000002</v>
      </c>
      <c r="T354" s="1144">
        <v>2.1800000000000002</v>
      </c>
      <c r="U354" s="1144">
        <v>3.78</v>
      </c>
      <c r="V354" s="1144">
        <v>3.78</v>
      </c>
      <c r="W354" s="1144" t="s">
        <v>301</v>
      </c>
      <c r="X354" s="1144" t="s">
        <v>301</v>
      </c>
      <c r="Y354" s="967"/>
      <c r="Z354" s="1146" t="s">
        <v>509</v>
      </c>
      <c r="AA354" s="1144" t="s">
        <v>472</v>
      </c>
      <c r="AB354" s="1147">
        <v>121.28</v>
      </c>
      <c r="AC354" s="1147">
        <v>121.28</v>
      </c>
      <c r="AD354" s="1147">
        <v>32.96</v>
      </c>
      <c r="AE354" s="1147">
        <v>32.96</v>
      </c>
    </row>
    <row r="355" spans="1:31" ht="24" x14ac:dyDescent="0.25">
      <c r="A355" s="1092" t="s">
        <v>510</v>
      </c>
      <c r="B355" s="965" t="s">
        <v>496</v>
      </c>
      <c r="C355" s="965" t="s">
        <v>497</v>
      </c>
      <c r="D355" s="965" t="s">
        <v>472</v>
      </c>
      <c r="E355" s="965">
        <v>761.57</v>
      </c>
      <c r="F355" s="965">
        <v>761.57</v>
      </c>
      <c r="G355" s="965">
        <v>261.55</v>
      </c>
      <c r="H355" s="965">
        <v>261.55</v>
      </c>
      <c r="I355" s="965" t="s">
        <v>464</v>
      </c>
      <c r="J355" s="965" t="s">
        <v>464</v>
      </c>
      <c r="K355" s="965" t="s">
        <v>464</v>
      </c>
      <c r="L355" s="965" t="s">
        <v>301</v>
      </c>
      <c r="M355" s="966" t="s">
        <v>499</v>
      </c>
      <c r="N355" s="966" t="s">
        <v>511</v>
      </c>
      <c r="O355" s="966" t="s">
        <v>501</v>
      </c>
      <c r="P355" s="967"/>
      <c r="Q355" s="1148" t="s">
        <v>512</v>
      </c>
      <c r="R355" s="965" t="s">
        <v>472</v>
      </c>
      <c r="S355" s="965">
        <v>24.93</v>
      </c>
      <c r="T355" s="965">
        <v>24.93</v>
      </c>
      <c r="U355" s="965">
        <v>23.16</v>
      </c>
      <c r="V355" s="965">
        <v>23.16</v>
      </c>
      <c r="W355" s="965" t="s">
        <v>301</v>
      </c>
      <c r="X355" s="965" t="s">
        <v>301</v>
      </c>
      <c r="Y355" s="967"/>
      <c r="Z355" s="1148" t="s">
        <v>512</v>
      </c>
      <c r="AA355" s="965" t="s">
        <v>472</v>
      </c>
      <c r="AB355" s="965">
        <v>254.11</v>
      </c>
      <c r="AC355" s="965">
        <v>254.11</v>
      </c>
      <c r="AD355" s="965">
        <v>287.89999999999998</v>
      </c>
      <c r="AE355" s="965">
        <v>287.89999999999998</v>
      </c>
    </row>
    <row r="356" spans="1:31" ht="24" x14ac:dyDescent="0.25">
      <c r="A356" s="1143" t="s">
        <v>444</v>
      </c>
      <c r="B356" s="1144" t="s">
        <v>496</v>
      </c>
      <c r="C356" s="1144" t="s">
        <v>513</v>
      </c>
      <c r="D356" s="1144" t="s">
        <v>472</v>
      </c>
      <c r="E356" s="1149">
        <v>3099.7</v>
      </c>
      <c r="F356" s="1149">
        <v>3099.7</v>
      </c>
      <c r="G356" s="1149">
        <v>6249.6</v>
      </c>
      <c r="H356" s="1149">
        <v>6249.6</v>
      </c>
      <c r="I356" s="1144" t="s">
        <v>464</v>
      </c>
      <c r="J356" s="1144" t="s">
        <v>464</v>
      </c>
      <c r="K356" s="1144" t="s">
        <v>464</v>
      </c>
      <c r="L356" s="1144" t="s">
        <v>301</v>
      </c>
      <c r="M356" s="1145" t="s">
        <v>514</v>
      </c>
      <c r="N356" s="1145" t="s">
        <v>515</v>
      </c>
      <c r="O356" s="1145" t="s">
        <v>516</v>
      </c>
      <c r="P356" s="967"/>
      <c r="Q356" s="1143" t="s">
        <v>517</v>
      </c>
      <c r="R356" s="1144" t="s">
        <v>472</v>
      </c>
      <c r="S356" s="1144"/>
      <c r="T356" s="1144"/>
      <c r="U356" s="1144"/>
      <c r="V356" s="1144" t="s">
        <v>488</v>
      </c>
      <c r="W356" s="1144" t="s">
        <v>301</v>
      </c>
      <c r="X356" s="1144" t="s">
        <v>301</v>
      </c>
      <c r="Y356" s="967"/>
      <c r="Z356" s="1143" t="s">
        <v>517</v>
      </c>
      <c r="AA356" s="1144" t="s">
        <v>472</v>
      </c>
      <c r="AB356" s="1150">
        <v>2500</v>
      </c>
      <c r="AC356" s="1150">
        <v>2500</v>
      </c>
      <c r="AD356" s="1150">
        <v>5040</v>
      </c>
      <c r="AE356" s="1150">
        <v>5040</v>
      </c>
    </row>
    <row r="357" spans="1:31" ht="36.6" customHeight="1" x14ac:dyDescent="0.25">
      <c r="A357" s="1092" t="s">
        <v>445</v>
      </c>
      <c r="B357" s="965" t="s">
        <v>496</v>
      </c>
      <c r="C357" s="965" t="s">
        <v>497</v>
      </c>
      <c r="D357" s="965" t="s">
        <v>472</v>
      </c>
      <c r="E357" s="1151">
        <v>3145.4</v>
      </c>
      <c r="F357" s="1151">
        <v>3145.4</v>
      </c>
      <c r="G357" s="1151">
        <v>1973.06</v>
      </c>
      <c r="H357" s="1151">
        <v>1973.06</v>
      </c>
      <c r="I357" s="965" t="s">
        <v>464</v>
      </c>
      <c r="J357" s="965" t="s">
        <v>464</v>
      </c>
      <c r="K357" s="965" t="s">
        <v>464</v>
      </c>
      <c r="L357" s="965" t="s">
        <v>301</v>
      </c>
      <c r="M357" s="966" t="s">
        <v>499</v>
      </c>
      <c r="N357" s="966" t="s">
        <v>518</v>
      </c>
      <c r="O357" s="966" t="s">
        <v>519</v>
      </c>
      <c r="P357" s="967"/>
      <c r="Q357" s="1092" t="s">
        <v>520</v>
      </c>
      <c r="R357" s="965" t="s">
        <v>472</v>
      </c>
      <c r="S357" s="965">
        <v>7.58</v>
      </c>
      <c r="T357" s="965">
        <v>7.58</v>
      </c>
      <c r="U357" s="965"/>
      <c r="V357" s="965" t="s">
        <v>488</v>
      </c>
      <c r="W357" s="965" t="s">
        <v>301</v>
      </c>
      <c r="X357" s="965" t="s">
        <v>301</v>
      </c>
      <c r="Y357" s="967"/>
      <c r="Z357" s="1092" t="s">
        <v>520</v>
      </c>
      <c r="AA357" s="965" t="s">
        <v>472</v>
      </c>
      <c r="AB357" s="965">
        <v>350.57</v>
      </c>
      <c r="AC357" s="965">
        <v>350.57</v>
      </c>
      <c r="AD357" s="965"/>
      <c r="AE357" s="965" t="s">
        <v>464</v>
      </c>
    </row>
    <row r="358" spans="1:31" ht="36" x14ac:dyDescent="0.25">
      <c r="A358" s="1152" t="s">
        <v>446</v>
      </c>
      <c r="B358" s="1144" t="s">
        <v>496</v>
      </c>
      <c r="C358" s="1144" t="s">
        <v>521</v>
      </c>
      <c r="D358" s="1144" t="s">
        <v>472</v>
      </c>
      <c r="E358" s="1144">
        <v>44.93</v>
      </c>
      <c r="F358" s="1144">
        <v>44.93</v>
      </c>
      <c r="G358" s="1144">
        <v>189.5</v>
      </c>
      <c r="H358" s="1144">
        <v>189.5</v>
      </c>
      <c r="I358" s="1144">
        <v>151.44</v>
      </c>
      <c r="J358" s="1144">
        <v>151.44</v>
      </c>
      <c r="K358" s="1144">
        <v>92.23</v>
      </c>
      <c r="L358" s="1144" t="s">
        <v>464</v>
      </c>
      <c r="M358" s="1145" t="s">
        <v>522</v>
      </c>
      <c r="N358" s="1145" t="s">
        <v>523</v>
      </c>
      <c r="O358" s="1145" t="s">
        <v>524</v>
      </c>
      <c r="P358" s="967"/>
      <c r="Q358" s="1152" t="s">
        <v>525</v>
      </c>
      <c r="R358" s="1144" t="s">
        <v>472</v>
      </c>
      <c r="S358" s="1144">
        <v>4.66</v>
      </c>
      <c r="T358" s="1144">
        <v>4.66</v>
      </c>
      <c r="U358" s="1144">
        <v>20.48</v>
      </c>
      <c r="V358" s="1144">
        <v>20.48</v>
      </c>
      <c r="W358" s="1144">
        <v>50.31</v>
      </c>
      <c r="X358" s="1144">
        <v>50.31</v>
      </c>
      <c r="Y358" s="967"/>
      <c r="Z358" s="1152" t="s">
        <v>525</v>
      </c>
      <c r="AA358" s="1144" t="s">
        <v>472</v>
      </c>
      <c r="AB358" s="1144">
        <v>312.49</v>
      </c>
      <c r="AC358" s="1144">
        <v>312.49</v>
      </c>
      <c r="AD358" s="1144">
        <v>325</v>
      </c>
      <c r="AE358" s="1144">
        <v>325</v>
      </c>
    </row>
    <row r="359" spans="1:31" ht="144" x14ac:dyDescent="0.25">
      <c r="A359" s="964" t="s">
        <v>447</v>
      </c>
      <c r="B359" s="965" t="s">
        <v>526</v>
      </c>
      <c r="C359" s="965" t="s">
        <v>527</v>
      </c>
      <c r="D359" s="965" t="s">
        <v>472</v>
      </c>
      <c r="E359" s="965">
        <v>88.6</v>
      </c>
      <c r="F359" s="965">
        <v>88.6</v>
      </c>
      <c r="G359" s="965">
        <v>19.73</v>
      </c>
      <c r="H359" s="965">
        <v>19.73</v>
      </c>
      <c r="I359" s="965">
        <v>40.96</v>
      </c>
      <c r="J359" s="965">
        <v>40.96</v>
      </c>
      <c r="K359" s="965">
        <v>11.39</v>
      </c>
      <c r="L359" s="965" t="s">
        <v>464</v>
      </c>
      <c r="M359" s="966" t="s">
        <v>528</v>
      </c>
      <c r="N359" s="966" t="s">
        <v>529</v>
      </c>
      <c r="O359" s="966" t="s">
        <v>530</v>
      </c>
      <c r="P359" s="967"/>
      <c r="Q359" s="964" t="s">
        <v>531</v>
      </c>
      <c r="R359" s="965" t="s">
        <v>472</v>
      </c>
      <c r="S359" s="965">
        <v>8.56</v>
      </c>
      <c r="T359" s="965">
        <v>8.56</v>
      </c>
      <c r="U359" s="965">
        <v>1.08</v>
      </c>
      <c r="V359" s="965">
        <v>1.08</v>
      </c>
      <c r="W359" s="965">
        <v>3.8</v>
      </c>
      <c r="X359" s="965">
        <v>3.8</v>
      </c>
      <c r="Y359" s="967"/>
      <c r="Z359" s="964" t="s">
        <v>531</v>
      </c>
      <c r="AA359" s="965" t="s">
        <v>472</v>
      </c>
      <c r="AB359" s="965" t="s">
        <v>62</v>
      </c>
      <c r="AC359" s="965" t="s">
        <v>62</v>
      </c>
      <c r="AD359" s="965" t="s">
        <v>464</v>
      </c>
      <c r="AE359" s="965" t="s">
        <v>464</v>
      </c>
    </row>
    <row r="360" spans="1:31" ht="48" x14ac:dyDescent="0.25">
      <c r="A360" s="1152" t="s">
        <v>532</v>
      </c>
      <c r="B360" s="1144" t="s">
        <v>533</v>
      </c>
      <c r="C360" s="1144" t="s">
        <v>497</v>
      </c>
      <c r="D360" s="1144" t="s">
        <v>472</v>
      </c>
      <c r="E360" s="1144"/>
      <c r="F360" s="1144"/>
      <c r="G360" s="1144">
        <v>14.19</v>
      </c>
      <c r="H360" s="1144">
        <v>14.19</v>
      </c>
      <c r="I360" s="1144">
        <v>6.7</v>
      </c>
      <c r="J360" s="1144">
        <v>6.7</v>
      </c>
      <c r="K360" s="1144">
        <v>0.32</v>
      </c>
      <c r="L360" s="1144" t="s">
        <v>464</v>
      </c>
      <c r="M360" s="1145" t="s">
        <v>534</v>
      </c>
      <c r="N360" s="1145" t="s">
        <v>535</v>
      </c>
      <c r="O360" s="1145" t="s">
        <v>501</v>
      </c>
      <c r="P360" s="967"/>
      <c r="Q360" s="1152" t="s">
        <v>536</v>
      </c>
      <c r="R360" s="1144" t="s">
        <v>472</v>
      </c>
      <c r="S360" s="1144">
        <v>21.67</v>
      </c>
      <c r="T360" s="1144">
        <v>21.67</v>
      </c>
      <c r="U360" s="1144">
        <v>18.760000000000002</v>
      </c>
      <c r="V360" s="1144">
        <v>18.760000000000002</v>
      </c>
      <c r="W360" s="1144" t="s">
        <v>301</v>
      </c>
      <c r="X360" s="1144" t="s">
        <v>301</v>
      </c>
      <c r="Y360" s="1153"/>
      <c r="Z360" s="1152" t="s">
        <v>536</v>
      </c>
      <c r="AA360" s="1144" t="s">
        <v>472</v>
      </c>
      <c r="AB360" s="1144">
        <v>18.79</v>
      </c>
      <c r="AC360" s="1144">
        <v>18.79</v>
      </c>
      <c r="AD360" s="1144">
        <v>7.82</v>
      </c>
      <c r="AE360" s="1144">
        <v>7.82</v>
      </c>
    </row>
    <row r="361" spans="1:31" ht="48" x14ac:dyDescent="0.25">
      <c r="A361" s="964" t="s">
        <v>537</v>
      </c>
      <c r="B361" s="965" t="s">
        <v>533</v>
      </c>
      <c r="C361" s="965" t="s">
        <v>471</v>
      </c>
      <c r="D361" s="965" t="s">
        <v>472</v>
      </c>
      <c r="E361" s="965">
        <v>12.28</v>
      </c>
      <c r="F361" s="965">
        <v>12.28</v>
      </c>
      <c r="G361" s="965">
        <v>21.23</v>
      </c>
      <c r="H361" s="965">
        <v>21.23</v>
      </c>
      <c r="I361" s="965">
        <v>1.17</v>
      </c>
      <c r="J361" s="965">
        <v>1.17</v>
      </c>
      <c r="K361" s="965">
        <v>2.23</v>
      </c>
      <c r="L361" s="965" t="s">
        <v>464</v>
      </c>
      <c r="M361" s="966" t="s">
        <v>538</v>
      </c>
      <c r="N361" s="966" t="s">
        <v>539</v>
      </c>
      <c r="O361" s="966" t="s">
        <v>540</v>
      </c>
      <c r="P361" s="967"/>
      <c r="Q361" s="964" t="s">
        <v>541</v>
      </c>
      <c r="R361" s="965" t="s">
        <v>472</v>
      </c>
      <c r="S361" s="976">
        <v>20.435130000000001</v>
      </c>
      <c r="T361" s="976">
        <v>20.435130000000001</v>
      </c>
      <c r="U361" s="965">
        <v>14.88</v>
      </c>
      <c r="V361" s="965">
        <v>14.88</v>
      </c>
      <c r="W361" s="965" t="s">
        <v>301</v>
      </c>
      <c r="X361" s="965" t="s">
        <v>301</v>
      </c>
      <c r="Y361" s="1153"/>
      <c r="Z361" s="964" t="s">
        <v>541</v>
      </c>
      <c r="AA361" s="965" t="s">
        <v>472</v>
      </c>
      <c r="AB361" s="976">
        <v>99.864378000000002</v>
      </c>
      <c r="AC361" s="976">
        <v>99.864378000000002</v>
      </c>
      <c r="AD361" s="965">
        <v>57.53</v>
      </c>
      <c r="AE361" s="965">
        <v>57.53</v>
      </c>
    </row>
    <row r="362" spans="1:31" ht="60" x14ac:dyDescent="0.25">
      <c r="A362" s="968" t="s">
        <v>541</v>
      </c>
      <c r="B362" s="969" t="s">
        <v>533</v>
      </c>
      <c r="C362" s="969" t="s">
        <v>471</v>
      </c>
      <c r="D362" s="969" t="s">
        <v>472</v>
      </c>
      <c r="E362" s="1144">
        <v>94.73</v>
      </c>
      <c r="F362" s="1144">
        <v>94.73</v>
      </c>
      <c r="G362" s="1144">
        <v>63.2</v>
      </c>
      <c r="H362" s="1144">
        <v>63.2</v>
      </c>
      <c r="I362" s="969">
        <v>32</v>
      </c>
      <c r="J362" s="969">
        <v>32</v>
      </c>
      <c r="K362" s="969">
        <v>34.590000000000003</v>
      </c>
      <c r="L362" s="969" t="s">
        <v>464</v>
      </c>
      <c r="M362" s="1154" t="s">
        <v>542</v>
      </c>
      <c r="N362" s="972" t="s">
        <v>543</v>
      </c>
      <c r="O362" s="972" t="s">
        <v>544</v>
      </c>
      <c r="P362" s="967"/>
      <c r="Q362" s="967"/>
      <c r="R362" s="944"/>
      <c r="S362" s="944"/>
      <c r="T362" s="944"/>
      <c r="U362" s="1153"/>
      <c r="V362" s="1153"/>
      <c r="W362" s="1153"/>
      <c r="X362" s="1153"/>
      <c r="Y362" s="1153"/>
      <c r="Z362" s="1153"/>
      <c r="AA362" s="1153"/>
      <c r="AB362" s="1153"/>
      <c r="AC362" s="1153"/>
      <c r="AD362" s="1153"/>
      <c r="AE362" s="1153"/>
    </row>
    <row r="363" spans="1:31" x14ac:dyDescent="0.25">
      <c r="I363" s="99"/>
      <c r="J363" s="12"/>
      <c r="K363" s="13"/>
      <c r="L363" s="13"/>
      <c r="M363" s="12"/>
      <c r="N363" s="12"/>
      <c r="O363" s="12"/>
      <c r="P363" s="11"/>
    </row>
    <row r="364" spans="1:31" ht="212.25" customHeight="1" x14ac:dyDescent="0.25">
      <c r="A364" s="1548" t="s">
        <v>545</v>
      </c>
      <c r="B364" s="1534"/>
      <c r="C364" s="1534"/>
      <c r="D364" s="1534"/>
      <c r="E364" s="1534"/>
      <c r="F364" s="1534"/>
      <c r="G364" s="1534"/>
      <c r="H364" s="1534"/>
      <c r="I364" s="1534"/>
      <c r="J364" s="1534"/>
      <c r="K364" s="1534"/>
      <c r="L364" s="1534"/>
      <c r="M364" s="1534"/>
      <c r="N364" s="947"/>
      <c r="O364" s="947"/>
      <c r="P364" s="32"/>
    </row>
    <row r="365" spans="1:31" x14ac:dyDescent="0.25"/>
    <row r="366" spans="1:31" ht="36" customHeight="1" x14ac:dyDescent="0.25">
      <c r="A366" s="1554" t="s">
        <v>546</v>
      </c>
      <c r="B366" s="1554"/>
      <c r="C366" s="1554"/>
      <c r="D366" s="1554"/>
      <c r="E366" s="1554"/>
      <c r="F366" s="1554"/>
      <c r="G366" s="1554"/>
    </row>
    <row r="367" spans="1:31" ht="42" customHeight="1" x14ac:dyDescent="0.25">
      <c r="A367" s="1555" t="s">
        <v>547</v>
      </c>
      <c r="B367" s="1555"/>
      <c r="C367" s="1555"/>
      <c r="D367" s="1555"/>
      <c r="E367" s="1555"/>
      <c r="F367" s="1555"/>
      <c r="G367" s="1555"/>
    </row>
    <row r="368" spans="1:31" ht="24" customHeight="1" x14ac:dyDescent="0.25">
      <c r="A368" s="160" t="s">
        <v>548</v>
      </c>
      <c r="B368" s="183" t="s">
        <v>549</v>
      </c>
      <c r="C368" s="161" t="s">
        <v>550</v>
      </c>
      <c r="D368" s="183" t="s">
        <v>551</v>
      </c>
      <c r="E368" s="161" t="s">
        <v>552</v>
      </c>
      <c r="F368" s="183" t="s">
        <v>553</v>
      </c>
      <c r="G368" s="1538" t="s">
        <v>554</v>
      </c>
    </row>
    <row r="369" spans="1:9" x14ac:dyDescent="0.25">
      <c r="A369" s="134"/>
      <c r="B369" s="182" t="s">
        <v>41</v>
      </c>
      <c r="C369" s="162" t="s">
        <v>41</v>
      </c>
      <c r="D369" s="182" t="s">
        <v>41</v>
      </c>
      <c r="E369" s="162" t="s">
        <v>41</v>
      </c>
      <c r="F369" s="182" t="s">
        <v>41</v>
      </c>
      <c r="G369" s="1539"/>
    </row>
    <row r="370" spans="1:9" x14ac:dyDescent="0.25">
      <c r="A370" s="212"/>
      <c r="B370" s="210"/>
      <c r="C370" s="211"/>
      <c r="D370" s="210"/>
      <c r="E370" s="211"/>
      <c r="F370" s="210"/>
      <c r="G370" s="517"/>
    </row>
    <row r="371" spans="1:9" x14ac:dyDescent="0.25">
      <c r="A371" s="219" t="s">
        <v>245</v>
      </c>
      <c r="B371" s="1155">
        <f>SUM(B372:B386)/SUM($B$372:$F$386)</f>
        <v>0</v>
      </c>
      <c r="C371" s="1155">
        <f>SUM(C372:C386)/SUM($B$372:$F$386)</f>
        <v>0</v>
      </c>
      <c r="D371" s="1155">
        <f>SUM(D372:D386)/SUM($B$372:$F$386)</f>
        <v>0.14401564907001474</v>
      </c>
      <c r="E371" s="1155">
        <f>SUM(E372:E386)/SUM($B$372:$F$386)</f>
        <v>0.36066182808869768</v>
      </c>
      <c r="F371" s="1155">
        <f>SUM(F372:F386)/SUM($B$372:$F$386)</f>
        <v>0.49532252284128758</v>
      </c>
      <c r="G371" s="1156">
        <f>SUM(G372:G386)/COUNT(G372:G386)</f>
        <v>4.3513068737712732</v>
      </c>
      <c r="I371" s="1157"/>
    </row>
    <row r="372" spans="1:9" x14ac:dyDescent="0.25">
      <c r="A372" s="1158" t="s">
        <v>367</v>
      </c>
      <c r="B372" s="1159">
        <v>0</v>
      </c>
      <c r="C372" s="209">
        <v>0</v>
      </c>
      <c r="D372" s="1159">
        <v>0.5081078561278406</v>
      </c>
      <c r="E372" s="209">
        <v>0.34027776434786028</v>
      </c>
      <c r="F372" s="1159">
        <v>0.15161437952429918</v>
      </c>
      <c r="G372" s="405">
        <v>3.643506523396459</v>
      </c>
    </row>
    <row r="373" spans="1:9" x14ac:dyDescent="0.25">
      <c r="A373" s="1160" t="s">
        <v>368</v>
      </c>
      <c r="B373" s="1161">
        <v>0</v>
      </c>
      <c r="C373" s="1162">
        <v>0</v>
      </c>
      <c r="D373" s="1161">
        <v>0.30142476183767675</v>
      </c>
      <c r="E373" s="1162">
        <v>0.21649091093493456</v>
      </c>
      <c r="F373" s="1161">
        <v>0.48208432722738875</v>
      </c>
      <c r="G373" s="1163">
        <v>4.1806595653897123</v>
      </c>
    </row>
    <row r="374" spans="1:9" x14ac:dyDescent="0.25">
      <c r="A374" s="1158" t="s">
        <v>369</v>
      </c>
      <c r="B374" s="1159">
        <v>0</v>
      </c>
      <c r="C374" s="209">
        <v>0</v>
      </c>
      <c r="D374" s="1159">
        <v>0.71264382652217306</v>
      </c>
      <c r="E374" s="209">
        <v>8.5508165477446163E-2</v>
      </c>
      <c r="F374" s="1159">
        <v>0.20184800800038075</v>
      </c>
      <c r="G374" s="405">
        <v>3.4892041814782071</v>
      </c>
    </row>
    <row r="375" spans="1:9" x14ac:dyDescent="0.25">
      <c r="A375" s="1160" t="s">
        <v>370</v>
      </c>
      <c r="B375" s="1161">
        <v>0</v>
      </c>
      <c r="C375" s="1162">
        <v>0</v>
      </c>
      <c r="D375" s="1161">
        <v>1.4341489862852765E-4</v>
      </c>
      <c r="E375" s="1162">
        <v>3.3665273314684223E-5</v>
      </c>
      <c r="F375" s="1161">
        <v>0.99982291982805671</v>
      </c>
      <c r="G375" s="1163">
        <v>4.9996795049294276</v>
      </c>
    </row>
    <row r="376" spans="1:9" x14ac:dyDescent="0.25">
      <c r="A376" s="1158" t="s">
        <v>371</v>
      </c>
      <c r="B376" s="1159">
        <v>0</v>
      </c>
      <c r="C376" s="209">
        <v>0</v>
      </c>
      <c r="D376" s="1159">
        <v>3.3059584606622304E-2</v>
      </c>
      <c r="E376" s="209">
        <v>1.6714374815032268E-2</v>
      </c>
      <c r="F376" s="1159">
        <v>0.95022604057834537</v>
      </c>
      <c r="G376" s="405">
        <v>4.9171664559717225</v>
      </c>
    </row>
    <row r="377" spans="1:9" x14ac:dyDescent="0.25">
      <c r="A377" s="1160" t="s">
        <v>372</v>
      </c>
      <c r="B377" s="1161">
        <v>0</v>
      </c>
      <c r="C377" s="1162">
        <v>0</v>
      </c>
      <c r="D377" s="1161">
        <v>2.0164303498252708E-3</v>
      </c>
      <c r="E377" s="1162">
        <v>6.3864452697651253E-3</v>
      </c>
      <c r="F377" s="1161">
        <v>0.99159712438040959</v>
      </c>
      <c r="G377" s="1163">
        <v>4.9895806940305842</v>
      </c>
    </row>
    <row r="378" spans="1:9" x14ac:dyDescent="0.25">
      <c r="A378" s="1158" t="s">
        <v>373</v>
      </c>
      <c r="B378" s="1159">
        <v>0</v>
      </c>
      <c r="C378" s="209">
        <v>0</v>
      </c>
      <c r="D378" s="1159">
        <v>0.42440703004286179</v>
      </c>
      <c r="E378" s="209">
        <v>0.52680257814409548</v>
      </c>
      <c r="F378" s="1159">
        <v>4.8790391813042927E-2</v>
      </c>
      <c r="G378" s="405">
        <v>3.6243833617701822</v>
      </c>
    </row>
    <row r="379" spans="1:9" x14ac:dyDescent="0.25">
      <c r="A379" s="1160" t="s">
        <v>374</v>
      </c>
      <c r="B379" s="1161">
        <v>0</v>
      </c>
      <c r="C379" s="1162">
        <v>0</v>
      </c>
      <c r="D379" s="1161">
        <v>0.17843183166459262</v>
      </c>
      <c r="E379" s="1162">
        <v>0.21771351706801645</v>
      </c>
      <c r="F379" s="1161">
        <v>0.60385465126739091</v>
      </c>
      <c r="G379" s="1163">
        <v>4.4254228196027983</v>
      </c>
    </row>
    <row r="380" spans="1:9" x14ac:dyDescent="0.25">
      <c r="A380" s="32" t="s">
        <v>343</v>
      </c>
      <c r="B380" s="1159">
        <v>0</v>
      </c>
      <c r="C380" s="209">
        <v>0</v>
      </c>
      <c r="D380" s="1159">
        <v>0</v>
      </c>
      <c r="E380" s="209">
        <v>1</v>
      </c>
      <c r="F380" s="1159">
        <v>0</v>
      </c>
      <c r="G380" s="405">
        <v>4</v>
      </c>
    </row>
    <row r="381" spans="1:9" x14ac:dyDescent="0.25">
      <c r="A381" s="1164" t="s">
        <v>555</v>
      </c>
      <c r="B381" s="1161">
        <v>0</v>
      </c>
      <c r="C381" s="1162">
        <v>0</v>
      </c>
      <c r="D381" s="1161">
        <v>0</v>
      </c>
      <c r="E381" s="1162">
        <v>1</v>
      </c>
      <c r="F381" s="1161">
        <v>0</v>
      </c>
      <c r="G381" s="1163">
        <v>4</v>
      </c>
    </row>
    <row r="382" spans="1:9" x14ac:dyDescent="0.25">
      <c r="A382" s="1164" t="s">
        <v>556</v>
      </c>
      <c r="B382" s="1161">
        <v>0</v>
      </c>
      <c r="C382" s="1162">
        <v>0</v>
      </c>
      <c r="D382" s="1161">
        <v>0</v>
      </c>
      <c r="E382" s="1162">
        <v>1</v>
      </c>
      <c r="F382" s="1161">
        <v>0</v>
      </c>
      <c r="G382" s="1163">
        <v>4</v>
      </c>
    </row>
    <row r="383" spans="1:9" x14ac:dyDescent="0.25">
      <c r="A383" s="32" t="s">
        <v>346</v>
      </c>
      <c r="B383" s="1159">
        <v>0</v>
      </c>
      <c r="C383" s="209">
        <v>0</v>
      </c>
      <c r="D383" s="1159">
        <v>0</v>
      </c>
      <c r="E383" s="209">
        <v>0</v>
      </c>
      <c r="F383" s="1159">
        <v>1</v>
      </c>
      <c r="G383" s="405">
        <v>5</v>
      </c>
    </row>
    <row r="384" spans="1:9" x14ac:dyDescent="0.25">
      <c r="A384" s="213" t="s">
        <v>347</v>
      </c>
      <c r="B384" s="260">
        <v>0</v>
      </c>
      <c r="C384" s="1165">
        <v>0</v>
      </c>
      <c r="D384" s="260">
        <v>0</v>
      </c>
      <c r="E384" s="1165">
        <v>0</v>
      </c>
      <c r="F384" s="260">
        <v>1</v>
      </c>
      <c r="G384" s="1166">
        <v>5</v>
      </c>
    </row>
    <row r="385" spans="1:7" x14ac:dyDescent="0.25">
      <c r="A385" s="213" t="s">
        <v>557</v>
      </c>
      <c r="B385" s="260">
        <v>0</v>
      </c>
      <c r="C385" s="1165">
        <v>0</v>
      </c>
      <c r="D385" s="260">
        <v>0</v>
      </c>
      <c r="E385" s="1165">
        <v>0</v>
      </c>
      <c r="F385" s="260">
        <v>1</v>
      </c>
      <c r="G385" s="1166">
        <v>5</v>
      </c>
    </row>
    <row r="386" spans="1:7" x14ac:dyDescent="0.25">
      <c r="A386" s="945" t="s">
        <v>558</v>
      </c>
      <c r="B386" s="1159">
        <v>0</v>
      </c>
      <c r="C386" s="209">
        <v>0</v>
      </c>
      <c r="D386" s="1159">
        <v>0</v>
      </c>
      <c r="E386" s="209">
        <v>1</v>
      </c>
      <c r="F386" s="1159">
        <v>0</v>
      </c>
      <c r="G386" s="405">
        <v>4</v>
      </c>
    </row>
    <row r="387" spans="1:7" x14ac:dyDescent="0.25">
      <c r="A387" s="101"/>
      <c r="B387" s="1167"/>
      <c r="C387" s="1168"/>
      <c r="D387" s="1167"/>
      <c r="E387" s="1168"/>
      <c r="F387" s="1167"/>
      <c r="G387" s="1169"/>
    </row>
    <row r="388" spans="1:7" x14ac:dyDescent="0.25">
      <c r="A388" s="14" t="s">
        <v>559</v>
      </c>
      <c r="B388" s="1170"/>
      <c r="C388" s="1171"/>
      <c r="D388" s="1170"/>
      <c r="E388" s="1171"/>
      <c r="F388" s="1170"/>
      <c r="G388" s="1172"/>
    </row>
    <row r="389" spans="1:7" x14ac:dyDescent="0.25">
      <c r="A389" s="1164" t="s">
        <v>560</v>
      </c>
      <c r="B389" s="1161"/>
      <c r="C389" s="1162"/>
      <c r="D389" s="1161"/>
      <c r="E389" s="1162"/>
      <c r="F389" s="1161"/>
      <c r="G389" s="1211">
        <f>+I187</f>
        <v>2.1</v>
      </c>
    </row>
    <row r="390" spans="1:7" x14ac:dyDescent="0.25">
      <c r="A390" s="32" t="s">
        <v>561</v>
      </c>
      <c r="B390" s="1159"/>
      <c r="C390" s="209"/>
      <c r="D390" s="1159"/>
      <c r="E390" s="209"/>
      <c r="F390" s="1159"/>
      <c r="G390" s="1365">
        <f>+I188</f>
        <v>2.2999999999999998</v>
      </c>
    </row>
    <row r="391" spans="1:7" x14ac:dyDescent="0.25">
      <c r="A391" s="1173" t="s">
        <v>562</v>
      </c>
      <c r="B391" s="1174"/>
      <c r="C391" s="1175"/>
      <c r="D391" s="1174"/>
      <c r="E391" s="1175"/>
      <c r="F391" s="1174"/>
      <c r="G391" s="1366">
        <f>+I189</f>
        <v>4.3</v>
      </c>
    </row>
    <row r="392" spans="1:7" x14ac:dyDescent="0.25">
      <c r="A392" s="1176"/>
      <c r="B392" s="1177"/>
      <c r="C392" s="1177"/>
      <c r="D392" s="1177"/>
      <c r="E392" s="1177"/>
      <c r="F392" s="1177"/>
      <c r="G392" s="1177"/>
    </row>
    <row r="393" spans="1:7" ht="111" customHeight="1" x14ac:dyDescent="0.25">
      <c r="A393" s="1537" t="s">
        <v>563</v>
      </c>
      <c r="B393" s="1537"/>
      <c r="C393" s="1537"/>
      <c r="D393" s="1537"/>
      <c r="E393" s="1537"/>
      <c r="F393" s="1537"/>
      <c r="G393" s="1537"/>
    </row>
    <row r="394" spans="1:7" hidden="1" x14ac:dyDescent="0.25">
      <c r="A394" s="1178"/>
      <c r="B394" s="1179"/>
      <c r="C394" s="1179"/>
      <c r="D394" s="1179"/>
      <c r="E394" s="1179"/>
      <c r="F394" s="1179"/>
      <c r="G394" s="1179"/>
    </row>
    <row r="395" spans="1:7" x14ac:dyDescent="0.25"/>
    <row r="396" spans="1:7" x14ac:dyDescent="0.25"/>
    <row r="397" spans="1:7" x14ac:dyDescent="0.25"/>
    <row r="398" spans="1:7" x14ac:dyDescent="0.25"/>
    <row r="399" spans="1:7" x14ac:dyDescent="0.25"/>
    <row r="400" spans="1:7" x14ac:dyDescent="0.25"/>
    <row r="401" x14ac:dyDescent="0.25"/>
    <row r="402" x14ac:dyDescent="0.25"/>
    <row r="403" x14ac:dyDescent="0.25"/>
    <row r="404" x14ac:dyDescent="0.25"/>
    <row r="405" x14ac:dyDescent="0.25"/>
    <row r="406" x14ac:dyDescent="0.25"/>
    <row r="407" x14ac:dyDescent="0.25"/>
    <row r="408" x14ac:dyDescent="0.25"/>
    <row r="409" x14ac:dyDescent="0.25"/>
  </sheetData>
  <sheetProtection algorithmName="SHA-512" hashValue="F/253UK+JxSClwc+lG/rxiWdqe4IUcvEncn1zlZHpYG/EW7z89baguLt95+TknNe9VSXKFuCugeCBLHTZXeeEw==" saltValue="s0d4+gBE7CpokRFEG0tHVg==" spinCount="100000" sheet="1" objects="1" scenarios="1"/>
  <mergeCells count="40">
    <mergeCell ref="B24:C24"/>
    <mergeCell ref="D24:E24"/>
    <mergeCell ref="A23:E23"/>
    <mergeCell ref="A366:G366"/>
    <mergeCell ref="A367:G367"/>
    <mergeCell ref="G340:H340"/>
    <mergeCell ref="E340:F340"/>
    <mergeCell ref="A339:J339"/>
    <mergeCell ref="A393:G393"/>
    <mergeCell ref="G368:G369"/>
    <mergeCell ref="A63:F63"/>
    <mergeCell ref="A90:F91"/>
    <mergeCell ref="A1:F1"/>
    <mergeCell ref="A2:F2"/>
    <mergeCell ref="F62:G62"/>
    <mergeCell ref="A38:F39"/>
    <mergeCell ref="A65:I66"/>
    <mergeCell ref="A88:I88"/>
    <mergeCell ref="G38:K39"/>
    <mergeCell ref="B40:F40"/>
    <mergeCell ref="G40:K40"/>
    <mergeCell ref="A313:D313"/>
    <mergeCell ref="A183:I184"/>
    <mergeCell ref="A364:M364"/>
    <mergeCell ref="AD340:AE340"/>
    <mergeCell ref="A310:J310"/>
    <mergeCell ref="A139:H139"/>
    <mergeCell ref="A142:H143"/>
    <mergeCell ref="A179:H179"/>
    <mergeCell ref="A140:F140"/>
    <mergeCell ref="A180:H180"/>
    <mergeCell ref="A227:B227"/>
    <mergeCell ref="A185:B185"/>
    <mergeCell ref="A269:B269"/>
    <mergeCell ref="Z339:AC339"/>
    <mergeCell ref="S340:T340"/>
    <mergeCell ref="AB340:AC340"/>
    <mergeCell ref="A311:J311"/>
    <mergeCell ref="U340:V340"/>
    <mergeCell ref="Q339:V339"/>
  </mergeCells>
  <pageMargins left="0.7" right="0.7" top="0.75" bottom="0.75" header="0.3" footer="0.3"/>
  <pageSetup paperSize="9" orientation="portrait" r:id="rId1"/>
  <ignoredErrors>
    <ignoredError sqref="F69 F78 H68 D55:F55"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52F1F-CF92-47F0-AEAC-AA0A1F8BB342}">
  <sheetPr>
    <tabColor rgb="FFA5BEB9"/>
  </sheetPr>
  <dimension ref="A1:Z72"/>
  <sheetViews>
    <sheetView showGridLines="0" topLeftCell="A39" zoomScaleNormal="100" workbookViewId="0">
      <selection activeCell="A48" sqref="A48:W48"/>
    </sheetView>
  </sheetViews>
  <sheetFormatPr defaultColWidth="0" defaultRowHeight="15" zeroHeight="1" x14ac:dyDescent="0.25"/>
  <cols>
    <col min="1" max="1" width="19.85546875" customWidth="1"/>
    <col min="2" max="2" width="25.140625" customWidth="1"/>
    <col min="3" max="3" width="17.85546875" customWidth="1"/>
    <col min="4" max="4" width="17.42578125" customWidth="1"/>
    <col min="5" max="5" width="15.140625" customWidth="1"/>
    <col min="6" max="6" width="17.42578125" customWidth="1"/>
    <col min="7" max="7" width="17.42578125" style="25" customWidth="1"/>
    <col min="8" max="8" width="17" style="25" customWidth="1"/>
    <col min="9" max="9" width="3.5703125" customWidth="1"/>
    <col min="10" max="10" width="18" customWidth="1"/>
    <col min="11" max="11" width="23" customWidth="1"/>
    <col min="12" max="12" width="16.5703125" customWidth="1"/>
    <col min="13" max="15" width="16.85546875" customWidth="1"/>
    <col min="16" max="16" width="17" customWidth="1"/>
    <col min="17" max="17" width="3.5703125" customWidth="1"/>
    <col min="18" max="18" width="19.85546875" customWidth="1"/>
    <col min="19" max="19" width="25.140625" customWidth="1"/>
    <col min="20" max="20" width="17.85546875" customWidth="1"/>
    <col min="21" max="23" width="17.42578125" customWidth="1"/>
    <col min="24" max="24" width="8.7109375" customWidth="1"/>
    <col min="25" max="26" width="0" hidden="1" customWidth="1"/>
    <col min="27" max="16384" width="8.7109375" hidden="1"/>
  </cols>
  <sheetData>
    <row r="1" spans="1:26" ht="41.25" customHeight="1" x14ac:dyDescent="0.25">
      <c r="A1" s="1560" t="s">
        <v>564</v>
      </c>
      <c r="B1" s="1560"/>
      <c r="C1" s="1560"/>
      <c r="D1" s="1560"/>
      <c r="E1" s="1560"/>
      <c r="F1" s="1560"/>
      <c r="G1" s="1560"/>
      <c r="H1" s="1560"/>
      <c r="I1" s="1560"/>
      <c r="J1" s="1560"/>
      <c r="K1" s="1560"/>
      <c r="L1" s="1560"/>
      <c r="M1" s="1560"/>
      <c r="N1" s="1560"/>
      <c r="O1" s="1560"/>
      <c r="P1" s="1560"/>
      <c r="Q1" s="1560"/>
      <c r="R1" s="1560"/>
      <c r="S1" s="1560"/>
      <c r="T1" s="1560"/>
      <c r="U1" s="1560"/>
      <c r="V1" s="1560"/>
      <c r="W1" s="1560"/>
    </row>
    <row r="2" spans="1:26" ht="64.5" customHeight="1" x14ac:dyDescent="0.25">
      <c r="A2" s="1583" t="s">
        <v>565</v>
      </c>
      <c r="B2" s="1583"/>
      <c r="C2" s="1583"/>
      <c r="D2" s="1583"/>
      <c r="E2" s="1583"/>
      <c r="F2" s="1583"/>
      <c r="G2" s="1583"/>
      <c r="H2" s="1583"/>
      <c r="I2" s="1583"/>
      <c r="J2" s="1583"/>
      <c r="K2" s="1583"/>
      <c r="L2" s="1583"/>
      <c r="M2" s="1583"/>
      <c r="N2" s="1583"/>
      <c r="O2" s="1583"/>
      <c r="P2" s="1583"/>
      <c r="Q2" s="1583"/>
      <c r="R2" s="1583"/>
      <c r="S2" s="1583"/>
      <c r="T2" s="1583"/>
      <c r="U2" s="1583"/>
      <c r="V2" s="1583"/>
      <c r="W2" s="1583"/>
    </row>
    <row r="3" spans="1:26" ht="23.25" x14ac:dyDescent="0.35">
      <c r="A3" s="1589" t="s">
        <v>566</v>
      </c>
      <c r="B3" s="1589"/>
      <c r="C3" s="658"/>
      <c r="D3" s="658"/>
      <c r="E3" s="658"/>
      <c r="F3" s="658"/>
      <c r="G3" s="658"/>
      <c r="H3" s="658"/>
      <c r="J3" s="1589" t="s">
        <v>567</v>
      </c>
      <c r="K3" s="1589"/>
      <c r="L3" s="658"/>
      <c r="M3" s="658"/>
      <c r="N3" s="658"/>
      <c r="O3" s="658"/>
      <c r="P3" s="655"/>
      <c r="R3" s="1590" t="s">
        <v>568</v>
      </c>
      <c r="S3" s="1590"/>
      <c r="T3" s="656"/>
      <c r="U3" s="656"/>
      <c r="V3" s="656"/>
      <c r="W3" s="657"/>
      <c r="X3" s="521"/>
      <c r="Y3" s="521"/>
      <c r="Z3" s="521"/>
    </row>
    <row r="4" spans="1:26" ht="15" customHeight="1" x14ac:dyDescent="0.25">
      <c r="A4" s="1584" t="s">
        <v>569</v>
      </c>
      <c r="B4" s="1585"/>
      <c r="C4" s="1585"/>
      <c r="D4" s="630" t="s">
        <v>22</v>
      </c>
      <c r="E4" s="630">
        <v>2023</v>
      </c>
      <c r="F4" s="631">
        <v>2022</v>
      </c>
      <c r="G4" s="631">
        <v>2021</v>
      </c>
      <c r="H4" s="632">
        <v>2020</v>
      </c>
      <c r="I4" s="400"/>
      <c r="J4" s="1584" t="s">
        <v>569</v>
      </c>
      <c r="K4" s="1585"/>
      <c r="L4" s="1585"/>
      <c r="M4" s="630" t="s">
        <v>22</v>
      </c>
      <c r="N4" s="639">
        <v>2023</v>
      </c>
      <c r="O4" s="631">
        <v>2022</v>
      </c>
      <c r="P4" s="632">
        <v>2021</v>
      </c>
      <c r="Q4" s="521"/>
      <c r="R4" s="1584" t="s">
        <v>569</v>
      </c>
      <c r="S4" s="1585"/>
      <c r="T4" s="1585"/>
      <c r="U4" s="630" t="s">
        <v>22</v>
      </c>
      <c r="V4" s="639">
        <v>2023</v>
      </c>
      <c r="W4" s="632">
        <v>2022</v>
      </c>
    </row>
    <row r="5" spans="1:26" ht="14.45" customHeight="1" x14ac:dyDescent="0.25">
      <c r="A5" s="1580" t="s">
        <v>570</v>
      </c>
      <c r="B5" s="1565" t="s">
        <v>571</v>
      </c>
      <c r="C5" s="1565"/>
      <c r="D5" s="543" t="s">
        <v>572</v>
      </c>
      <c r="E5" s="918">
        <v>51575</v>
      </c>
      <c r="F5" s="898">
        <v>53312</v>
      </c>
      <c r="G5" s="899">
        <v>44114</v>
      </c>
      <c r="H5" s="900">
        <v>45185</v>
      </c>
      <c r="I5" s="400"/>
      <c r="J5" s="1580" t="s">
        <v>570</v>
      </c>
      <c r="K5" s="1565" t="s">
        <v>571</v>
      </c>
      <c r="L5" s="1566"/>
      <c r="M5" s="540" t="s">
        <v>572</v>
      </c>
      <c r="N5" s="902">
        <v>1899</v>
      </c>
      <c r="O5" s="903">
        <v>1899</v>
      </c>
      <c r="P5" s="903">
        <v>1899</v>
      </c>
      <c r="Q5" s="521"/>
      <c r="R5" s="1580" t="s">
        <v>570</v>
      </c>
      <c r="S5" s="1565" t="s">
        <v>571</v>
      </c>
      <c r="T5" s="1566"/>
      <c r="U5" s="540" t="s">
        <v>573</v>
      </c>
      <c r="V5" s="901">
        <v>35127</v>
      </c>
      <c r="W5" s="901">
        <v>35127</v>
      </c>
    </row>
    <row r="6" spans="1:26" ht="14.45" customHeight="1" x14ac:dyDescent="0.25">
      <c r="A6" s="1581"/>
      <c r="B6" s="563" t="s">
        <v>574</v>
      </c>
      <c r="C6" s="563"/>
      <c r="D6" s="543" t="s">
        <v>84</v>
      </c>
      <c r="E6" s="918">
        <v>61</v>
      </c>
      <c r="F6" s="898"/>
      <c r="G6" s="899"/>
      <c r="H6" s="900"/>
      <c r="I6" s="400"/>
      <c r="J6" s="1581"/>
      <c r="K6" s="563" t="s">
        <v>575</v>
      </c>
      <c r="L6" s="904"/>
      <c r="M6" s="540" t="s">
        <v>84</v>
      </c>
      <c r="N6" s="902">
        <v>1</v>
      </c>
      <c r="O6" s="903"/>
      <c r="P6" s="903"/>
      <c r="Q6" s="521"/>
      <c r="R6" s="1581"/>
      <c r="S6" s="563" t="s">
        <v>575</v>
      </c>
      <c r="T6" s="904"/>
      <c r="U6" s="540" t="s">
        <v>84</v>
      </c>
      <c r="V6" s="645">
        <v>24</v>
      </c>
      <c r="W6" s="901"/>
    </row>
    <row r="7" spans="1:26" s="710" customFormat="1" ht="24" x14ac:dyDescent="0.25">
      <c r="A7" s="1574" t="s">
        <v>576</v>
      </c>
      <c r="B7" s="1559" t="s">
        <v>577</v>
      </c>
      <c r="C7" s="1559"/>
      <c r="D7" s="1302" t="s">
        <v>41</v>
      </c>
      <c r="E7" s="1303">
        <v>1</v>
      </c>
      <c r="F7" s="1304">
        <v>1</v>
      </c>
      <c r="G7" s="1305">
        <v>1</v>
      </c>
      <c r="H7" s="1306">
        <v>1</v>
      </c>
      <c r="I7" s="1307"/>
      <c r="J7" s="1574" t="s">
        <v>576</v>
      </c>
      <c r="K7" s="1559" t="s">
        <v>577</v>
      </c>
      <c r="L7" s="1564"/>
      <c r="M7" s="1308" t="s">
        <v>41</v>
      </c>
      <c r="N7" s="1309">
        <v>1</v>
      </c>
      <c r="O7" s="1310">
        <v>1</v>
      </c>
      <c r="P7" s="1310">
        <v>1</v>
      </c>
      <c r="Q7" s="967"/>
      <c r="R7" s="1574" t="s">
        <v>576</v>
      </c>
      <c r="S7" s="1559" t="s">
        <v>577</v>
      </c>
      <c r="T7" s="1564"/>
      <c r="U7" s="1308" t="s">
        <v>41</v>
      </c>
      <c r="V7" s="1309" t="s">
        <v>578</v>
      </c>
      <c r="W7" s="1311">
        <v>0</v>
      </c>
    </row>
    <row r="8" spans="1:26" x14ac:dyDescent="0.25">
      <c r="A8" s="1574"/>
      <c r="B8" s="1558" t="s">
        <v>579</v>
      </c>
      <c r="C8" s="1558"/>
      <c r="D8" s="529" t="s">
        <v>490</v>
      </c>
      <c r="E8" s="911">
        <v>43</v>
      </c>
      <c r="F8" s="530">
        <v>61</v>
      </c>
      <c r="G8" s="629">
        <v>49</v>
      </c>
      <c r="H8" s="659">
        <v>40.5</v>
      </c>
      <c r="I8" s="528"/>
      <c r="J8" s="1574"/>
      <c r="K8" s="1558" t="s">
        <v>579</v>
      </c>
      <c r="L8" s="1563"/>
      <c r="M8" s="531" t="s">
        <v>490</v>
      </c>
      <c r="N8" s="894" t="s">
        <v>62</v>
      </c>
      <c r="O8" s="633" t="s">
        <v>580</v>
      </c>
      <c r="P8" s="633" t="s">
        <v>581</v>
      </c>
      <c r="Q8" s="521"/>
      <c r="R8" s="1574"/>
      <c r="S8" s="1558" t="s">
        <v>579</v>
      </c>
      <c r="T8" s="1563"/>
      <c r="U8" s="531" t="s">
        <v>490</v>
      </c>
      <c r="V8" s="894">
        <v>0</v>
      </c>
      <c r="W8" s="646" t="s">
        <v>464</v>
      </c>
    </row>
    <row r="9" spans="1:26" x14ac:dyDescent="0.25">
      <c r="A9" s="1574"/>
      <c r="B9" s="1557" t="s">
        <v>582</v>
      </c>
      <c r="C9" s="1557"/>
      <c r="D9" s="527" t="s">
        <v>490</v>
      </c>
      <c r="E9" s="912">
        <v>3149.4969999999998</v>
      </c>
      <c r="F9" s="533">
        <v>3516</v>
      </c>
      <c r="G9" s="660">
        <v>3183</v>
      </c>
      <c r="H9" s="661">
        <v>4241</v>
      </c>
      <c r="I9" s="528"/>
      <c r="J9" s="1574"/>
      <c r="K9" s="1557" t="s">
        <v>582</v>
      </c>
      <c r="L9" s="1571"/>
      <c r="M9" s="624" t="s">
        <v>490</v>
      </c>
      <c r="N9" s="895">
        <v>62</v>
      </c>
      <c r="O9" s="634">
        <v>139.78</v>
      </c>
      <c r="P9" s="634">
        <v>147.4</v>
      </c>
      <c r="Q9" s="521"/>
      <c r="R9" s="1574"/>
      <c r="S9" s="1557" t="s">
        <v>582</v>
      </c>
      <c r="T9" s="1571"/>
      <c r="U9" s="624" t="s">
        <v>490</v>
      </c>
      <c r="V9" s="919">
        <v>1513.9</v>
      </c>
      <c r="W9" s="647">
        <v>1532.65</v>
      </c>
    </row>
    <row r="10" spans="1:26" x14ac:dyDescent="0.25">
      <c r="A10" s="1574"/>
      <c r="B10" s="1558" t="s">
        <v>583</v>
      </c>
      <c r="C10" s="1558"/>
      <c r="D10" s="529" t="s">
        <v>490</v>
      </c>
      <c r="E10" s="913">
        <f>E9+E8</f>
        <v>3192.4969999999998</v>
      </c>
      <c r="F10" s="535">
        <v>3578</v>
      </c>
      <c r="G10" s="662">
        <v>3232</v>
      </c>
      <c r="H10" s="663">
        <v>4281</v>
      </c>
      <c r="I10" s="528"/>
      <c r="J10" s="1574"/>
      <c r="K10" s="1558" t="s">
        <v>583</v>
      </c>
      <c r="L10" s="1563"/>
      <c r="M10" s="531" t="s">
        <v>490</v>
      </c>
      <c r="N10" s="894">
        <v>62</v>
      </c>
      <c r="O10" s="633">
        <v>139.78</v>
      </c>
      <c r="P10" s="633">
        <v>147.4</v>
      </c>
      <c r="Q10" s="521"/>
      <c r="R10" s="1574"/>
      <c r="S10" s="1558" t="s">
        <v>583</v>
      </c>
      <c r="T10" s="1563"/>
      <c r="U10" s="531" t="s">
        <v>490</v>
      </c>
      <c r="V10" s="920">
        <f>V9+V8</f>
        <v>1513.9</v>
      </c>
      <c r="W10" s="648">
        <v>1532.65</v>
      </c>
    </row>
    <row r="11" spans="1:26" ht="24.75" x14ac:dyDescent="0.25">
      <c r="A11" s="1574"/>
      <c r="B11" s="1559" t="s">
        <v>584</v>
      </c>
      <c r="C11" s="1559"/>
      <c r="D11" s="527" t="s">
        <v>585</v>
      </c>
      <c r="E11" s="914">
        <v>0</v>
      </c>
      <c r="F11" s="534">
        <v>0</v>
      </c>
      <c r="G11" s="528">
        <v>0</v>
      </c>
      <c r="H11" s="661">
        <v>4868</v>
      </c>
      <c r="I11" s="528"/>
      <c r="J11" s="1574"/>
      <c r="K11" s="1559" t="s">
        <v>584</v>
      </c>
      <c r="L11" s="1564"/>
      <c r="M11" s="624" t="s">
        <v>585</v>
      </c>
      <c r="N11" s="895" t="s">
        <v>62</v>
      </c>
      <c r="O11" s="634" t="s">
        <v>580</v>
      </c>
      <c r="P11" s="634" t="s">
        <v>581</v>
      </c>
      <c r="Q11" s="521"/>
      <c r="R11" s="1574"/>
      <c r="S11" s="1559" t="s">
        <v>584</v>
      </c>
      <c r="T11" s="1564"/>
      <c r="U11" s="624" t="s">
        <v>585</v>
      </c>
      <c r="V11" s="895">
        <v>0</v>
      </c>
      <c r="W11" s="649" t="s">
        <v>580</v>
      </c>
    </row>
    <row r="12" spans="1:26" x14ac:dyDescent="0.25">
      <c r="A12" s="1574"/>
      <c r="B12" s="1559"/>
      <c r="C12" s="1559"/>
      <c r="D12" s="527" t="s">
        <v>586</v>
      </c>
      <c r="E12" s="915">
        <v>20968</v>
      </c>
      <c r="F12" s="533">
        <v>24496</v>
      </c>
      <c r="G12" s="660">
        <v>12495</v>
      </c>
      <c r="H12" s="661">
        <v>53408</v>
      </c>
      <c r="I12" s="528"/>
      <c r="J12" s="1574"/>
      <c r="K12" s="1559"/>
      <c r="L12" s="1564"/>
      <c r="M12" s="624" t="s">
        <v>586</v>
      </c>
      <c r="N12" s="895" t="s">
        <v>62</v>
      </c>
      <c r="O12" s="634" t="s">
        <v>580</v>
      </c>
      <c r="P12" s="634" t="s">
        <v>581</v>
      </c>
      <c r="Q12" s="521"/>
      <c r="R12" s="1574"/>
      <c r="S12" s="1559"/>
      <c r="T12" s="1564"/>
      <c r="U12" s="624" t="s">
        <v>586</v>
      </c>
      <c r="V12" s="895">
        <v>0</v>
      </c>
      <c r="W12" s="649" t="s">
        <v>580</v>
      </c>
    </row>
    <row r="13" spans="1:26" ht="24.75" x14ac:dyDescent="0.25">
      <c r="A13" s="1574"/>
      <c r="B13" s="1559"/>
      <c r="C13" s="1559"/>
      <c r="D13" s="527" t="s">
        <v>587</v>
      </c>
      <c r="E13" s="915">
        <v>4365.7157214870322</v>
      </c>
      <c r="F13" s="533">
        <v>3976</v>
      </c>
      <c r="G13" s="660">
        <v>5261</v>
      </c>
      <c r="H13" s="661">
        <v>4165</v>
      </c>
      <c r="I13" s="528"/>
      <c r="J13" s="1574"/>
      <c r="K13" s="1559"/>
      <c r="L13" s="1564"/>
      <c r="M13" s="624" t="s">
        <v>587</v>
      </c>
      <c r="N13" s="895">
        <v>112.09</v>
      </c>
      <c r="O13" s="634">
        <v>132.4</v>
      </c>
      <c r="P13" s="634">
        <v>140.80000000000001</v>
      </c>
      <c r="Q13" s="521"/>
      <c r="R13" s="1574"/>
      <c r="S13" s="1559"/>
      <c r="T13" s="1564"/>
      <c r="U13" s="624" t="s">
        <v>587</v>
      </c>
      <c r="V13" s="919">
        <v>3284.94</v>
      </c>
      <c r="W13" s="647">
        <v>5413.03</v>
      </c>
    </row>
    <row r="14" spans="1:26" x14ac:dyDescent="0.25">
      <c r="A14" s="1574"/>
      <c r="B14" s="1558" t="s">
        <v>588</v>
      </c>
      <c r="C14" s="1558"/>
      <c r="D14" s="529" t="s">
        <v>490</v>
      </c>
      <c r="E14" s="911">
        <v>5239</v>
      </c>
      <c r="F14" s="536">
        <v>4997</v>
      </c>
      <c r="G14" s="662">
        <v>5781</v>
      </c>
      <c r="H14" s="663">
        <v>4802</v>
      </c>
      <c r="I14" s="528"/>
      <c r="J14" s="1574"/>
      <c r="K14" s="1558" t="s">
        <v>588</v>
      </c>
      <c r="L14" s="1563"/>
      <c r="M14" s="531" t="s">
        <v>490</v>
      </c>
      <c r="N14" s="894">
        <f>N13</f>
        <v>112.09</v>
      </c>
      <c r="O14" s="633">
        <v>132.4</v>
      </c>
      <c r="P14" s="525">
        <v>140.80000000000001</v>
      </c>
      <c r="Q14" s="521"/>
      <c r="R14" s="1574"/>
      <c r="S14" s="1558" t="s">
        <v>588</v>
      </c>
      <c r="T14" s="1563"/>
      <c r="U14" s="531" t="s">
        <v>490</v>
      </c>
      <c r="V14" s="920">
        <f>V13+V12+V11</f>
        <v>3284.94</v>
      </c>
      <c r="W14" s="648">
        <v>5413.03</v>
      </c>
    </row>
    <row r="15" spans="1:26" x14ac:dyDescent="0.25">
      <c r="A15" s="1574"/>
      <c r="B15" s="1557" t="s">
        <v>589</v>
      </c>
      <c r="C15" s="1557"/>
      <c r="D15" s="527" t="s">
        <v>490</v>
      </c>
      <c r="E15" s="912">
        <f>E14+E10</f>
        <v>8431.4969999999994</v>
      </c>
      <c r="F15" s="533">
        <v>8575</v>
      </c>
      <c r="G15" s="660">
        <v>9013</v>
      </c>
      <c r="H15" s="661">
        <v>9083</v>
      </c>
      <c r="I15" s="528"/>
      <c r="J15" s="1574"/>
      <c r="K15" s="1557" t="s">
        <v>589</v>
      </c>
      <c r="L15" s="1571"/>
      <c r="M15" s="624" t="s">
        <v>490</v>
      </c>
      <c r="N15" s="895">
        <f>N14+N10</f>
        <v>174.09</v>
      </c>
      <c r="O15" s="634">
        <v>272.18</v>
      </c>
      <c r="P15" s="634">
        <v>288.2</v>
      </c>
      <c r="Q15" s="521"/>
      <c r="R15" s="1574"/>
      <c r="S15" s="1557" t="s">
        <v>589</v>
      </c>
      <c r="T15" s="1571"/>
      <c r="U15" s="624" t="s">
        <v>490</v>
      </c>
      <c r="V15" s="919">
        <f>V14+V10</f>
        <v>4798.84</v>
      </c>
      <c r="W15" s="647">
        <v>6945.68</v>
      </c>
    </row>
    <row r="16" spans="1:26" x14ac:dyDescent="0.25">
      <c r="A16" s="1574"/>
      <c r="B16" s="1558" t="s">
        <v>590</v>
      </c>
      <c r="C16" s="1558"/>
      <c r="D16" s="529" t="s">
        <v>55</v>
      </c>
      <c r="E16" s="913">
        <f>E10/Employees!D8*1000</f>
        <v>2707.8006785411362</v>
      </c>
      <c r="F16" s="536">
        <v>3141</v>
      </c>
      <c r="G16" s="662">
        <v>3023</v>
      </c>
      <c r="H16" s="663">
        <v>4022</v>
      </c>
      <c r="I16" s="528"/>
      <c r="J16" s="1574"/>
      <c r="K16" s="1558" t="s">
        <v>590</v>
      </c>
      <c r="L16" s="1558"/>
      <c r="M16" s="1360" t="s">
        <v>55</v>
      </c>
      <c r="N16" s="524">
        <f>N10/Employees!D22*1000</f>
        <v>746.98795180722891</v>
      </c>
      <c r="O16" s="524">
        <v>1553.11</v>
      </c>
      <c r="P16" s="524">
        <v>1618.2</v>
      </c>
      <c r="Q16" s="521"/>
      <c r="R16" s="1574"/>
      <c r="S16" s="1558" t="s">
        <v>590</v>
      </c>
      <c r="T16" s="1563"/>
      <c r="U16" s="531" t="s">
        <v>55</v>
      </c>
      <c r="V16" s="920">
        <f>V10/Employees!D31*1000</f>
        <v>2523.2507750258342</v>
      </c>
      <c r="W16" s="922">
        <v>2512.54</v>
      </c>
    </row>
    <row r="17" spans="1:23" x14ac:dyDescent="0.25">
      <c r="A17" s="1574"/>
      <c r="B17" s="1557" t="s">
        <v>591</v>
      </c>
      <c r="C17" s="1557"/>
      <c r="D17" s="527" t="s">
        <v>592</v>
      </c>
      <c r="E17" s="917">
        <f>E10/E5*1000</f>
        <v>61.900087251575371</v>
      </c>
      <c r="F17" s="534">
        <v>67.11</v>
      </c>
      <c r="G17" s="528">
        <v>73.27</v>
      </c>
      <c r="H17" s="664">
        <v>94.75</v>
      </c>
      <c r="I17" s="528"/>
      <c r="J17" s="1574"/>
      <c r="K17" s="1557" t="s">
        <v>591</v>
      </c>
      <c r="L17" s="1571"/>
      <c r="M17" s="624" t="s">
        <v>592</v>
      </c>
      <c r="N17" s="1299">
        <f>N10/N5*1000</f>
        <v>32.648762506582415</v>
      </c>
      <c r="O17" s="634">
        <v>73.61</v>
      </c>
      <c r="P17" s="634">
        <v>77.599999999999994</v>
      </c>
      <c r="Q17" s="521"/>
      <c r="R17" s="1574"/>
      <c r="S17" s="1557" t="s">
        <v>591</v>
      </c>
      <c r="T17" s="1571"/>
      <c r="U17" s="624" t="s">
        <v>592</v>
      </c>
      <c r="V17" s="919">
        <f>V10/V5*1000</f>
        <v>43.097901898824269</v>
      </c>
      <c r="W17" s="649">
        <v>43.63</v>
      </c>
    </row>
    <row r="18" spans="1:23" x14ac:dyDescent="0.25">
      <c r="A18" s="1574"/>
      <c r="B18" s="1558" t="s">
        <v>593</v>
      </c>
      <c r="C18" s="1558"/>
      <c r="D18" s="529" t="s">
        <v>55</v>
      </c>
      <c r="E18" s="913">
        <f>E14/Employees!D8*1000</f>
        <v>4443.596268023749</v>
      </c>
      <c r="F18" s="536">
        <v>4387</v>
      </c>
      <c r="G18" s="662">
        <v>5408</v>
      </c>
      <c r="H18" s="663">
        <v>4510</v>
      </c>
      <c r="I18" s="528"/>
      <c r="J18" s="1574"/>
      <c r="K18" s="1558" t="s">
        <v>593</v>
      </c>
      <c r="L18" s="1563"/>
      <c r="M18" s="531" t="s">
        <v>55</v>
      </c>
      <c r="N18" s="1337">
        <f>N14/Employees!D22*1000</f>
        <v>1350.4819277108436</v>
      </c>
      <c r="O18" s="524">
        <v>1471.11</v>
      </c>
      <c r="P18" s="524">
        <v>1546</v>
      </c>
      <c r="Q18" s="521"/>
      <c r="R18" s="1574"/>
      <c r="S18" s="1558" t="s">
        <v>593</v>
      </c>
      <c r="T18" s="1563"/>
      <c r="U18" s="531" t="s">
        <v>55</v>
      </c>
      <c r="V18" s="920">
        <f>V14/Employees!D31*1000</f>
        <v>5475.0825027500914</v>
      </c>
      <c r="W18" s="922">
        <v>8873.81</v>
      </c>
    </row>
    <row r="19" spans="1:23" x14ac:dyDescent="0.25">
      <c r="A19" s="1574"/>
      <c r="B19" s="1557" t="s">
        <v>594</v>
      </c>
      <c r="C19" s="1557"/>
      <c r="D19" s="527" t="s">
        <v>592</v>
      </c>
      <c r="E19" s="917">
        <f>E14/E5*1000</f>
        <v>101.58022297624818</v>
      </c>
      <c r="F19" s="534">
        <v>93.73</v>
      </c>
      <c r="G19" s="528">
        <v>131.05000000000001</v>
      </c>
      <c r="H19" s="664">
        <v>106.27</v>
      </c>
      <c r="I19" s="528"/>
      <c r="J19" s="1574"/>
      <c r="K19" s="1557" t="s">
        <v>594</v>
      </c>
      <c r="L19" s="1571"/>
      <c r="M19" s="624" t="s">
        <v>592</v>
      </c>
      <c r="N19" s="1300">
        <f>N14/N5*1000</f>
        <v>59.02580305423907</v>
      </c>
      <c r="O19" s="634">
        <v>69.72</v>
      </c>
      <c r="P19" s="634">
        <v>74.099999999999994</v>
      </c>
      <c r="Q19" s="521"/>
      <c r="R19" s="1574"/>
      <c r="S19" s="1557" t="s">
        <v>594</v>
      </c>
      <c r="T19" s="1571"/>
      <c r="U19" s="624" t="s">
        <v>592</v>
      </c>
      <c r="V19" s="919">
        <f>V14/V5*1000</f>
        <v>93.516098727474599</v>
      </c>
      <c r="W19" s="649">
        <v>154.1</v>
      </c>
    </row>
    <row r="20" spans="1:23" x14ac:dyDescent="0.25">
      <c r="A20" s="1574"/>
      <c r="B20" s="1558" t="s">
        <v>595</v>
      </c>
      <c r="C20" s="1558"/>
      <c r="D20" s="529" t="s">
        <v>596</v>
      </c>
      <c r="E20" s="913">
        <f>E15/Employees!D8*1000</f>
        <v>7151.3969465648852</v>
      </c>
      <c r="F20" s="536">
        <v>7528</v>
      </c>
      <c r="G20" s="662">
        <v>8431</v>
      </c>
      <c r="H20" s="663">
        <v>8532</v>
      </c>
      <c r="I20" s="528"/>
      <c r="J20" s="1574"/>
      <c r="K20" s="1558" t="s">
        <v>595</v>
      </c>
      <c r="L20" s="1563"/>
      <c r="M20" s="531" t="s">
        <v>596</v>
      </c>
      <c r="N20" s="1337">
        <f>N15/Employees!D22*1000</f>
        <v>2097.4698795180725</v>
      </c>
      <c r="O20" s="633" t="s">
        <v>301</v>
      </c>
      <c r="P20" s="524">
        <v>3164.3</v>
      </c>
      <c r="Q20" s="521"/>
      <c r="R20" s="1574"/>
      <c r="S20" s="1558" t="s">
        <v>595</v>
      </c>
      <c r="T20" s="1563"/>
      <c r="U20" s="531" t="s">
        <v>596</v>
      </c>
      <c r="V20" s="920">
        <f>V15/Employees!D31*1000</f>
        <v>7998.3332777759251</v>
      </c>
      <c r="W20" s="922">
        <v>11386.35</v>
      </c>
    </row>
    <row r="21" spans="1:23" x14ac:dyDescent="0.25">
      <c r="A21" s="1575"/>
      <c r="B21" s="1587" t="s">
        <v>597</v>
      </c>
      <c r="C21" s="1587"/>
      <c r="D21" s="537" t="s">
        <v>592</v>
      </c>
      <c r="E21" s="916">
        <f>E15/E5*1000</f>
        <v>163.48031022782357</v>
      </c>
      <c r="F21" s="538">
        <v>160.84</v>
      </c>
      <c r="G21" s="564">
        <v>204.31</v>
      </c>
      <c r="H21" s="665">
        <v>201.02</v>
      </c>
      <c r="I21" s="528"/>
      <c r="J21" s="1586"/>
      <c r="K21" s="1587" t="s">
        <v>597</v>
      </c>
      <c r="L21" s="1588"/>
      <c r="M21" s="539" t="s">
        <v>592</v>
      </c>
      <c r="N21" s="1301">
        <f>N15/N5*1000</f>
        <v>91.674565560821492</v>
      </c>
      <c r="O21" s="635">
        <v>0.14000000000000001</v>
      </c>
      <c r="P21" s="635">
        <v>151.80000000000001</v>
      </c>
      <c r="Q21" s="521"/>
      <c r="R21" s="1575"/>
      <c r="S21" s="1587" t="s">
        <v>597</v>
      </c>
      <c r="T21" s="1588"/>
      <c r="U21" s="539" t="s">
        <v>592</v>
      </c>
      <c r="V21" s="923">
        <f>V15/V5*1000</f>
        <v>136.61400062629886</v>
      </c>
      <c r="W21" s="650">
        <v>197.73</v>
      </c>
    </row>
    <row r="22" spans="1:23" x14ac:dyDescent="0.25">
      <c r="A22" s="1574" t="s">
        <v>598</v>
      </c>
      <c r="B22" s="1576" t="s">
        <v>599</v>
      </c>
      <c r="C22" s="1576"/>
      <c r="D22" s="529" t="s">
        <v>600</v>
      </c>
      <c r="E22" s="530" t="s">
        <v>601</v>
      </c>
      <c r="F22" s="530" t="s">
        <v>602</v>
      </c>
      <c r="G22" s="629" t="s">
        <v>603</v>
      </c>
      <c r="H22" s="666" t="s">
        <v>604</v>
      </c>
      <c r="I22" s="528"/>
      <c r="J22" s="1574" t="s">
        <v>598</v>
      </c>
      <c r="K22" s="1576" t="s">
        <v>599</v>
      </c>
      <c r="L22" s="1577"/>
      <c r="M22" s="897" t="s">
        <v>600</v>
      </c>
      <c r="N22" s="633" t="s">
        <v>605</v>
      </c>
      <c r="O22" s="633" t="s">
        <v>606</v>
      </c>
      <c r="P22" s="633" t="s">
        <v>607</v>
      </c>
      <c r="Q22" s="521"/>
      <c r="R22" s="1574" t="s">
        <v>598</v>
      </c>
      <c r="S22" s="1576" t="s">
        <v>608</v>
      </c>
      <c r="T22" s="1577"/>
      <c r="U22" s="531" t="s">
        <v>600</v>
      </c>
      <c r="V22" s="646" t="s">
        <v>602</v>
      </c>
      <c r="W22" s="646" t="s">
        <v>601</v>
      </c>
    </row>
    <row r="23" spans="1:23" x14ac:dyDescent="0.25">
      <c r="A23" s="1574"/>
      <c r="B23" s="1576"/>
      <c r="C23" s="1576"/>
      <c r="D23" s="529" t="s">
        <v>600</v>
      </c>
      <c r="E23" s="530" t="s">
        <v>609</v>
      </c>
      <c r="F23" s="530" t="s">
        <v>610</v>
      </c>
      <c r="G23" s="629" t="s">
        <v>611</v>
      </c>
      <c r="H23" s="666" t="s">
        <v>612</v>
      </c>
      <c r="I23" s="528"/>
      <c r="J23" s="1574"/>
      <c r="K23" s="1576"/>
      <c r="L23" s="1577"/>
      <c r="M23" s="897" t="s">
        <v>600</v>
      </c>
      <c r="N23" s="633" t="s">
        <v>609</v>
      </c>
      <c r="O23" s="633" t="s">
        <v>613</v>
      </c>
      <c r="P23" s="633" t="s">
        <v>614</v>
      </c>
      <c r="Q23" s="521"/>
      <c r="R23" s="1574"/>
      <c r="S23" s="1576"/>
      <c r="T23" s="1577"/>
      <c r="U23" s="531" t="s">
        <v>600</v>
      </c>
      <c r="V23" s="646" t="s">
        <v>615</v>
      </c>
      <c r="W23" s="646" t="s">
        <v>615</v>
      </c>
    </row>
    <row r="24" spans="1:23" x14ac:dyDescent="0.25">
      <c r="A24" s="1574"/>
      <c r="B24" s="1576"/>
      <c r="C24" s="1576"/>
      <c r="D24" s="529" t="s">
        <v>600</v>
      </c>
      <c r="E24" s="530" t="s">
        <v>616</v>
      </c>
      <c r="F24" s="530" t="s">
        <v>617</v>
      </c>
      <c r="G24" s="629" t="s">
        <v>618</v>
      </c>
      <c r="H24" s="666" t="s">
        <v>619</v>
      </c>
      <c r="I24" s="528"/>
      <c r="J24" s="1574"/>
      <c r="K24" s="1576"/>
      <c r="L24" s="1577"/>
      <c r="M24" s="897" t="s">
        <v>600</v>
      </c>
      <c r="N24" s="633" t="s">
        <v>620</v>
      </c>
      <c r="O24" s="633" t="s">
        <v>621</v>
      </c>
      <c r="P24" s="633" t="s">
        <v>622</v>
      </c>
      <c r="Q24" s="521"/>
      <c r="R24" s="1574"/>
      <c r="S24" s="1576"/>
      <c r="T24" s="1577"/>
      <c r="U24" s="531" t="s">
        <v>600</v>
      </c>
      <c r="V24" s="646" t="s">
        <v>623</v>
      </c>
      <c r="W24" s="646" t="s">
        <v>624</v>
      </c>
    </row>
    <row r="25" spans="1:23" x14ac:dyDescent="0.25">
      <c r="A25" s="1574"/>
      <c r="B25" s="1576"/>
      <c r="C25" s="1576"/>
      <c r="D25" s="529" t="s">
        <v>600</v>
      </c>
      <c r="E25" s="530" t="s">
        <v>625</v>
      </c>
      <c r="F25" s="530" t="s">
        <v>626</v>
      </c>
      <c r="G25" s="629" t="s">
        <v>625</v>
      </c>
      <c r="H25" s="666" t="s">
        <v>627</v>
      </c>
      <c r="I25" s="528"/>
      <c r="J25" s="1574"/>
      <c r="K25" s="1576"/>
      <c r="L25" s="1577"/>
      <c r="M25" s="897" t="s">
        <v>600</v>
      </c>
      <c r="N25" s="633" t="s">
        <v>628</v>
      </c>
      <c r="O25" s="633" t="s">
        <v>629</v>
      </c>
      <c r="P25" s="633" t="s">
        <v>630</v>
      </c>
      <c r="Q25" s="521"/>
      <c r="R25" s="1574"/>
      <c r="S25" s="1576"/>
      <c r="T25" s="1577"/>
      <c r="U25" s="531" t="s">
        <v>600</v>
      </c>
      <c r="V25" s="646" t="s">
        <v>631</v>
      </c>
      <c r="W25" s="646" t="s">
        <v>629</v>
      </c>
    </row>
    <row r="26" spans="1:23" x14ac:dyDescent="0.25">
      <c r="A26" s="1574"/>
      <c r="B26" s="1569" t="s">
        <v>632</v>
      </c>
      <c r="C26" s="1569"/>
      <c r="D26" s="527" t="s">
        <v>471</v>
      </c>
      <c r="E26" s="625" t="s">
        <v>62</v>
      </c>
      <c r="F26" s="533">
        <v>133021</v>
      </c>
      <c r="G26" s="660">
        <v>93899</v>
      </c>
      <c r="H26" s="667">
        <v>6506</v>
      </c>
      <c r="I26" s="528"/>
      <c r="J26" s="1574"/>
      <c r="K26" s="1569" t="s">
        <v>632</v>
      </c>
      <c r="L26" s="1570"/>
      <c r="M26" s="624" t="s">
        <v>471</v>
      </c>
      <c r="N26" s="644" t="s">
        <v>62</v>
      </c>
      <c r="O26" s="634" t="s">
        <v>580</v>
      </c>
      <c r="P26" s="634" t="s">
        <v>301</v>
      </c>
      <c r="Q26" s="521"/>
      <c r="R26" s="1574"/>
      <c r="S26" s="1569" t="s">
        <v>632</v>
      </c>
      <c r="T26" s="1570"/>
      <c r="U26" s="624" t="s">
        <v>471</v>
      </c>
      <c r="V26" s="895" t="s">
        <v>62</v>
      </c>
      <c r="W26" s="651" t="s">
        <v>62</v>
      </c>
    </row>
    <row r="27" spans="1:23" x14ac:dyDescent="0.25">
      <c r="A27" s="1574"/>
      <c r="B27" s="1558" t="s">
        <v>633</v>
      </c>
      <c r="C27" s="1558"/>
      <c r="D27" s="529" t="s">
        <v>471</v>
      </c>
      <c r="E27" s="535">
        <v>47240</v>
      </c>
      <c r="F27" s="535">
        <v>95308</v>
      </c>
      <c r="G27" s="662">
        <v>1638</v>
      </c>
      <c r="H27" s="663">
        <v>6938</v>
      </c>
      <c r="I27" s="528"/>
      <c r="J27" s="1574"/>
      <c r="K27" s="1558" t="s">
        <v>633</v>
      </c>
      <c r="L27" s="1563"/>
      <c r="M27" s="531" t="s">
        <v>471</v>
      </c>
      <c r="N27" s="892">
        <v>97288</v>
      </c>
      <c r="O27" s="640">
        <v>111274</v>
      </c>
      <c r="P27" s="633" t="s">
        <v>301</v>
      </c>
      <c r="Q27" s="521"/>
      <c r="R27" s="1574"/>
      <c r="S27" s="1558" t="s">
        <v>633</v>
      </c>
      <c r="T27" s="1563"/>
      <c r="U27" s="531" t="s">
        <v>471</v>
      </c>
      <c r="V27" s="920">
        <v>76241.17</v>
      </c>
      <c r="W27" s="652" t="s">
        <v>62</v>
      </c>
    </row>
    <row r="28" spans="1:23" x14ac:dyDescent="0.25">
      <c r="A28" s="1574"/>
      <c r="B28" s="1557" t="s">
        <v>634</v>
      </c>
      <c r="C28" s="1557"/>
      <c r="D28" s="527" t="s">
        <v>471</v>
      </c>
      <c r="E28" s="889">
        <f>671831.86+363042</f>
        <v>1034873.86</v>
      </c>
      <c r="F28" s="533">
        <v>743044</v>
      </c>
      <c r="G28" s="660">
        <v>638703</v>
      </c>
      <c r="H28" s="661">
        <v>606327</v>
      </c>
      <c r="I28" s="528"/>
      <c r="J28" s="1574"/>
      <c r="K28" s="1557" t="s">
        <v>634</v>
      </c>
      <c r="L28" s="1571"/>
      <c r="M28" s="624" t="s">
        <v>471</v>
      </c>
      <c r="N28" s="890">
        <f>144930+353733</f>
        <v>498663</v>
      </c>
      <c r="O28" s="641">
        <v>111082</v>
      </c>
      <c r="P28" s="634" t="s">
        <v>301</v>
      </c>
      <c r="Q28" s="521"/>
      <c r="R28" s="1574"/>
      <c r="S28" s="1557" t="s">
        <v>634</v>
      </c>
      <c r="T28" s="1571"/>
      <c r="U28" s="624" t="s">
        <v>471</v>
      </c>
      <c r="V28" s="919">
        <v>1577724</v>
      </c>
      <c r="W28" s="647">
        <v>693924.5</v>
      </c>
    </row>
    <row r="29" spans="1:23" x14ac:dyDescent="0.25">
      <c r="A29" s="1574"/>
      <c r="B29" s="1558" t="s">
        <v>635</v>
      </c>
      <c r="C29" s="1558"/>
      <c r="D29" s="529" t="s">
        <v>636</v>
      </c>
      <c r="E29" s="891">
        <f>E28/61</f>
        <v>16965.14524590164</v>
      </c>
      <c r="F29" s="535">
        <v>10465</v>
      </c>
      <c r="G29" s="662">
        <v>8996</v>
      </c>
      <c r="H29" s="663">
        <v>8540</v>
      </c>
      <c r="I29" s="528"/>
      <c r="J29" s="1574"/>
      <c r="K29" s="1558" t="s">
        <v>637</v>
      </c>
      <c r="L29" s="1563"/>
      <c r="M29" s="531" t="s">
        <v>41</v>
      </c>
      <c r="N29" s="893">
        <v>0.62</v>
      </c>
      <c r="O29" s="642">
        <v>0.36</v>
      </c>
      <c r="P29" s="633" t="s">
        <v>301</v>
      </c>
      <c r="Q29" s="521"/>
      <c r="R29" s="1574"/>
      <c r="S29" s="1558" t="s">
        <v>635</v>
      </c>
      <c r="T29" s="1563"/>
      <c r="U29" s="531" t="s">
        <v>636</v>
      </c>
      <c r="V29" s="894">
        <f>V28/25</f>
        <v>63108.959999999999</v>
      </c>
      <c r="W29" s="653">
        <v>26689</v>
      </c>
    </row>
    <row r="30" spans="1:23" ht="24" x14ac:dyDescent="0.25">
      <c r="A30" s="1574"/>
      <c r="B30" s="1559" t="s">
        <v>638</v>
      </c>
      <c r="C30" s="1559"/>
      <c r="D30" s="1302" t="s">
        <v>84</v>
      </c>
      <c r="E30" s="1342" t="s">
        <v>639</v>
      </c>
      <c r="F30" s="1342" t="s">
        <v>640</v>
      </c>
      <c r="G30" s="944" t="s">
        <v>640</v>
      </c>
      <c r="H30" s="1318" t="s">
        <v>640</v>
      </c>
      <c r="I30" s="528"/>
      <c r="J30" s="1575"/>
      <c r="K30" s="1561" t="s">
        <v>641</v>
      </c>
      <c r="L30" s="1562"/>
      <c r="M30" s="1325" t="s">
        <v>642</v>
      </c>
      <c r="N30" s="1314">
        <v>59.62</v>
      </c>
      <c r="O30" s="1326">
        <v>100.36</v>
      </c>
      <c r="P30" s="1326" t="s">
        <v>301</v>
      </c>
      <c r="Q30" s="521"/>
      <c r="R30" s="1574"/>
      <c r="S30" s="1559" t="s">
        <v>638</v>
      </c>
      <c r="T30" s="1564"/>
      <c r="U30" s="1308" t="s">
        <v>84</v>
      </c>
      <c r="V30" s="1324" t="s">
        <v>62</v>
      </c>
      <c r="W30" s="1328" t="s">
        <v>580</v>
      </c>
    </row>
    <row r="31" spans="1:23" x14ac:dyDescent="0.25">
      <c r="A31" s="1574"/>
      <c r="B31" s="1558" t="s">
        <v>637</v>
      </c>
      <c r="C31" s="1558"/>
      <c r="D31" s="529" t="s">
        <v>41</v>
      </c>
      <c r="E31" s="906">
        <v>69</v>
      </c>
      <c r="F31" s="906">
        <v>57</v>
      </c>
      <c r="G31" s="906">
        <v>48</v>
      </c>
      <c r="H31" s="906">
        <v>28</v>
      </c>
      <c r="I31" s="528"/>
      <c r="J31" s="1592" t="s">
        <v>643</v>
      </c>
      <c r="K31" s="1558" t="s">
        <v>64</v>
      </c>
      <c r="L31" s="1563"/>
      <c r="M31" s="531" t="s">
        <v>41</v>
      </c>
      <c r="N31" s="894">
        <v>68</v>
      </c>
      <c r="O31" s="643">
        <v>76</v>
      </c>
      <c r="P31" s="633">
        <v>60</v>
      </c>
      <c r="Q31" s="521"/>
      <c r="R31" s="1574"/>
      <c r="S31" s="1558" t="s">
        <v>637</v>
      </c>
      <c r="T31" s="1563"/>
      <c r="U31" s="531" t="s">
        <v>41</v>
      </c>
      <c r="V31" s="532">
        <v>65</v>
      </c>
      <c r="W31" s="532">
        <v>70</v>
      </c>
    </row>
    <row r="32" spans="1:23" ht="72" x14ac:dyDescent="0.25">
      <c r="A32" s="1575"/>
      <c r="B32" s="1561" t="s">
        <v>641</v>
      </c>
      <c r="C32" s="1561"/>
      <c r="D32" s="1312" t="s">
        <v>642</v>
      </c>
      <c r="E32" s="1313">
        <v>73.599999999999994</v>
      </c>
      <c r="F32" s="1314">
        <v>73.3</v>
      </c>
      <c r="G32" s="1315">
        <v>85.9</v>
      </c>
      <c r="H32" s="1316">
        <v>103.2</v>
      </c>
      <c r="I32" s="528"/>
      <c r="J32" s="1592"/>
      <c r="K32" s="1559" t="s">
        <v>644</v>
      </c>
      <c r="L32" s="1564"/>
      <c r="M32" s="1308" t="s">
        <v>41</v>
      </c>
      <c r="N32" s="1336" t="s">
        <v>645</v>
      </c>
      <c r="O32" s="1327" t="s">
        <v>646</v>
      </c>
      <c r="P32" s="1323" t="s">
        <v>647</v>
      </c>
      <c r="Q32" s="521"/>
      <c r="R32" s="1575"/>
      <c r="S32" s="1561" t="s">
        <v>641</v>
      </c>
      <c r="T32" s="1562"/>
      <c r="U32" s="1325" t="s">
        <v>642</v>
      </c>
      <c r="V32" s="1329">
        <v>64.599999999999994</v>
      </c>
      <c r="W32" s="1330">
        <v>82.9</v>
      </c>
    </row>
    <row r="33" spans="1:23" x14ac:dyDescent="0.25">
      <c r="A33" s="1574" t="s">
        <v>643</v>
      </c>
      <c r="B33" s="1558" t="s">
        <v>64</v>
      </c>
      <c r="C33" s="1558"/>
      <c r="D33" s="529" t="s">
        <v>41</v>
      </c>
      <c r="E33" s="906">
        <v>66</v>
      </c>
      <c r="F33" s="530">
        <v>75</v>
      </c>
      <c r="G33" s="629">
        <v>60.9</v>
      </c>
      <c r="H33" s="666">
        <v>57.4</v>
      </c>
      <c r="I33" s="528"/>
      <c r="J33" s="1592"/>
      <c r="K33" s="1558" t="s">
        <v>648</v>
      </c>
      <c r="L33" s="1563"/>
      <c r="M33" s="531" t="s">
        <v>649</v>
      </c>
      <c r="N33" s="894">
        <v>1.95</v>
      </c>
      <c r="O33" s="633">
        <v>2.25</v>
      </c>
      <c r="P33" s="633" t="s">
        <v>580</v>
      </c>
      <c r="Q33" s="521"/>
      <c r="R33" s="1574" t="s">
        <v>447</v>
      </c>
      <c r="S33" s="1558" t="s">
        <v>447</v>
      </c>
      <c r="T33" s="1563"/>
      <c r="U33" s="531" t="s">
        <v>650</v>
      </c>
      <c r="V33" s="894">
        <v>60.64</v>
      </c>
      <c r="W33" s="646">
        <v>9.3849999999999998</v>
      </c>
    </row>
    <row r="34" spans="1:23" s="560" customFormat="1" ht="72" x14ac:dyDescent="0.25">
      <c r="A34" s="1574"/>
      <c r="B34" s="1559" t="s">
        <v>644</v>
      </c>
      <c r="C34" s="1559"/>
      <c r="D34" s="1302" t="s">
        <v>41</v>
      </c>
      <c r="E34" s="1336" t="s">
        <v>645</v>
      </c>
      <c r="F34" s="1317" t="s">
        <v>651</v>
      </c>
      <c r="G34" s="1307" t="s">
        <v>652</v>
      </c>
      <c r="H34" s="1318" t="s">
        <v>653</v>
      </c>
      <c r="I34" s="528"/>
      <c r="J34" s="1593"/>
      <c r="K34" s="1561" t="s">
        <v>654</v>
      </c>
      <c r="L34" s="1562"/>
      <c r="M34" s="1325" t="s">
        <v>41</v>
      </c>
      <c r="N34" s="1313" t="s">
        <v>645</v>
      </c>
      <c r="O34" s="1326" t="s">
        <v>655</v>
      </c>
      <c r="P34" s="1326" t="s">
        <v>656</v>
      </c>
      <c r="Q34" s="672"/>
      <c r="R34" s="1574"/>
      <c r="S34" s="1559" t="s">
        <v>657</v>
      </c>
      <c r="T34" s="1564"/>
      <c r="U34" s="1308" t="s">
        <v>41</v>
      </c>
      <c r="V34" s="1324">
        <v>30.7</v>
      </c>
      <c r="W34" s="1328">
        <v>23.23</v>
      </c>
    </row>
    <row r="35" spans="1:23" x14ac:dyDescent="0.25">
      <c r="A35" s="1574"/>
      <c r="B35" s="1558" t="s">
        <v>648</v>
      </c>
      <c r="C35" s="1558"/>
      <c r="D35" s="529" t="s">
        <v>649</v>
      </c>
      <c r="E35" s="906">
        <v>1.9</v>
      </c>
      <c r="F35" s="532">
        <v>3.38</v>
      </c>
      <c r="G35" s="629">
        <v>3.7</v>
      </c>
      <c r="H35" s="666">
        <v>2.8</v>
      </c>
      <c r="I35" s="528"/>
      <c r="J35" s="1574" t="s">
        <v>447</v>
      </c>
      <c r="K35" s="1558" t="s">
        <v>447</v>
      </c>
      <c r="L35" s="1563"/>
      <c r="M35" s="531" t="s">
        <v>650</v>
      </c>
      <c r="N35" s="894">
        <v>6.57</v>
      </c>
      <c r="O35" s="643">
        <v>4.8600000000000003</v>
      </c>
      <c r="P35" s="633">
        <v>3.8</v>
      </c>
      <c r="Q35" s="521"/>
      <c r="R35" s="1575"/>
      <c r="S35" s="1565" t="s">
        <v>658</v>
      </c>
      <c r="T35" s="1566"/>
      <c r="U35" s="540" t="s">
        <v>659</v>
      </c>
      <c r="V35" s="896"/>
      <c r="W35" s="654">
        <v>15.39</v>
      </c>
    </row>
    <row r="36" spans="1:23" ht="72" x14ac:dyDescent="0.25">
      <c r="A36" s="1575"/>
      <c r="B36" s="1561" t="s">
        <v>654</v>
      </c>
      <c r="C36" s="1561"/>
      <c r="D36" s="1312" t="s">
        <v>41</v>
      </c>
      <c r="E36" s="1336" t="s">
        <v>645</v>
      </c>
      <c r="F36" s="1314" t="s">
        <v>660</v>
      </c>
      <c r="G36" s="1315" t="s">
        <v>661</v>
      </c>
      <c r="H36" s="1316" t="s">
        <v>662</v>
      </c>
      <c r="I36" s="528"/>
      <c r="J36" s="1574"/>
      <c r="K36" s="1559" t="s">
        <v>657</v>
      </c>
      <c r="L36" s="1564"/>
      <c r="M36" s="1308" t="s">
        <v>41</v>
      </c>
      <c r="N36" s="1324">
        <v>54.08</v>
      </c>
      <c r="O36" s="1323">
        <v>32.81</v>
      </c>
      <c r="P36" s="1323">
        <v>32.11</v>
      </c>
      <c r="Q36" s="521"/>
      <c r="R36" s="1574" t="s">
        <v>663</v>
      </c>
      <c r="S36" s="1559" t="s">
        <v>663</v>
      </c>
      <c r="T36" s="1564"/>
      <c r="U36" s="1308" t="s">
        <v>664</v>
      </c>
      <c r="V36" s="1331">
        <v>3284.94</v>
      </c>
      <c r="W36" s="1332">
        <v>1037.5889999999999</v>
      </c>
    </row>
    <row r="37" spans="1:23" ht="36.75" x14ac:dyDescent="0.25">
      <c r="A37" s="1594" t="s">
        <v>495</v>
      </c>
      <c r="B37" s="1558" t="s">
        <v>665</v>
      </c>
      <c r="C37" s="1558"/>
      <c r="D37" s="529" t="s">
        <v>41</v>
      </c>
      <c r="E37" s="1338" t="s">
        <v>666</v>
      </c>
      <c r="F37" s="401" t="s">
        <v>667</v>
      </c>
      <c r="G37" s="402" t="s">
        <v>668</v>
      </c>
      <c r="H37" s="668" t="s">
        <v>669</v>
      </c>
      <c r="I37" s="403"/>
      <c r="J37" s="1575"/>
      <c r="K37" s="1565" t="s">
        <v>658</v>
      </c>
      <c r="L37" s="1566"/>
      <c r="M37" s="540" t="s">
        <v>659</v>
      </c>
      <c r="N37" s="1341">
        <f>N35*1000/Employees!D22</f>
        <v>79.156626506024097</v>
      </c>
      <c r="O37" s="636">
        <v>54</v>
      </c>
      <c r="P37" s="636">
        <v>41.72</v>
      </c>
      <c r="Q37" s="521"/>
      <c r="R37" s="1574"/>
      <c r="S37" s="1558" t="s">
        <v>670</v>
      </c>
      <c r="T37" s="1563"/>
      <c r="U37" s="531" t="s">
        <v>671</v>
      </c>
      <c r="V37" s="921">
        <f>V36/V5</f>
        <v>9.35160987274746E-2</v>
      </c>
      <c r="W37" s="646">
        <v>0.03</v>
      </c>
    </row>
    <row r="38" spans="1:23" ht="72" x14ac:dyDescent="0.25">
      <c r="A38" s="1594"/>
      <c r="B38" s="1559" t="s">
        <v>672</v>
      </c>
      <c r="C38" s="1559"/>
      <c r="D38" s="1302" t="s">
        <v>41</v>
      </c>
      <c r="E38" s="1319" t="s">
        <v>673</v>
      </c>
      <c r="F38" s="1319" t="s">
        <v>674</v>
      </c>
      <c r="G38" s="1320" t="s">
        <v>675</v>
      </c>
      <c r="H38" s="1321" t="s">
        <v>676</v>
      </c>
      <c r="I38" s="403"/>
      <c r="J38" s="1594" t="s">
        <v>663</v>
      </c>
      <c r="K38" s="1559" t="s">
        <v>663</v>
      </c>
      <c r="L38" s="1564"/>
      <c r="M38" s="1308" t="s">
        <v>664</v>
      </c>
      <c r="N38" s="1324">
        <v>390</v>
      </c>
      <c r="O38" s="1323">
        <v>364</v>
      </c>
      <c r="P38" s="1323">
        <v>374</v>
      </c>
      <c r="Q38" s="521"/>
      <c r="R38" s="1586"/>
      <c r="S38" s="1567" t="s">
        <v>677</v>
      </c>
      <c r="T38" s="1568"/>
      <c r="U38" s="1333" t="s">
        <v>58</v>
      </c>
      <c r="V38" s="1334">
        <f>V36/Employees!D31</f>
        <v>5.4750825027500918</v>
      </c>
      <c r="W38" s="1335">
        <v>1.7</v>
      </c>
    </row>
    <row r="39" spans="1:23" x14ac:dyDescent="0.25">
      <c r="A39" s="1594"/>
      <c r="B39" s="1558" t="s">
        <v>678</v>
      </c>
      <c r="C39" s="1558"/>
      <c r="D39" s="529" t="s">
        <v>679</v>
      </c>
      <c r="E39" s="1393">
        <f>7579/Employees!D8</f>
        <v>6.4283290924512295</v>
      </c>
      <c r="F39" s="532">
        <v>6.28</v>
      </c>
      <c r="G39" s="629">
        <v>0.48</v>
      </c>
      <c r="H39" s="659">
        <v>0.68</v>
      </c>
      <c r="I39" s="403"/>
      <c r="J39" s="1594"/>
      <c r="K39" s="1558" t="s">
        <v>670</v>
      </c>
      <c r="L39" s="1563"/>
      <c r="M39" s="531" t="s">
        <v>671</v>
      </c>
      <c r="N39" s="920">
        <f>N38/N5</f>
        <v>0.20537124802527645</v>
      </c>
      <c r="O39" s="633">
        <v>0.19</v>
      </c>
      <c r="P39" s="633">
        <v>0.2</v>
      </c>
      <c r="Q39" s="521"/>
      <c r="R39" s="522"/>
      <c r="S39" s="522"/>
      <c r="T39" s="522"/>
      <c r="U39" s="522"/>
      <c r="V39" s="522"/>
      <c r="W39" s="522"/>
    </row>
    <row r="40" spans="1:23" x14ac:dyDescent="0.25">
      <c r="A40" s="1595"/>
      <c r="B40" s="526" t="s">
        <v>680</v>
      </c>
      <c r="C40" s="1339"/>
      <c r="D40" s="537" t="s">
        <v>679</v>
      </c>
      <c r="E40" s="905">
        <f>3415.4/61</f>
        <v>55.990163934426228</v>
      </c>
      <c r="F40" s="538">
        <v>129.44999999999999</v>
      </c>
      <c r="G40" s="526" t="s">
        <v>681</v>
      </c>
      <c r="H40" s="669" t="s">
        <v>580</v>
      </c>
      <c r="I40" s="403"/>
      <c r="J40" s="1596"/>
      <c r="K40" s="1572" t="s">
        <v>677</v>
      </c>
      <c r="L40" s="1573"/>
      <c r="M40" s="637" t="s">
        <v>58</v>
      </c>
      <c r="N40" s="1340">
        <f>N38/Employees!D22</f>
        <v>4.6987951807228914</v>
      </c>
      <c r="O40" s="638">
        <v>4.05</v>
      </c>
      <c r="P40" s="638">
        <v>4.1100000000000003</v>
      </c>
      <c r="Q40" s="521"/>
      <c r="R40" s="521"/>
      <c r="S40" s="521"/>
      <c r="T40" s="521"/>
      <c r="U40" s="521"/>
      <c r="V40" s="521"/>
      <c r="W40" s="521"/>
    </row>
    <row r="41" spans="1:23" x14ac:dyDescent="0.25">
      <c r="A41" s="1574" t="s">
        <v>447</v>
      </c>
      <c r="B41" s="1558" t="s">
        <v>447</v>
      </c>
      <c r="C41" s="1558"/>
      <c r="D41" s="529" t="s">
        <v>650</v>
      </c>
      <c r="E41" s="907">
        <v>95.11</v>
      </c>
      <c r="F41" s="530">
        <v>475.83</v>
      </c>
      <c r="G41" s="629">
        <v>435.35700000000003</v>
      </c>
      <c r="H41" s="659">
        <v>414.5</v>
      </c>
      <c r="I41" s="528"/>
      <c r="J41" s="542"/>
      <c r="K41" s="522"/>
      <c r="L41" s="522"/>
      <c r="M41" s="522"/>
      <c r="N41" s="522"/>
      <c r="O41" s="522"/>
      <c r="P41" s="522"/>
      <c r="Q41" s="521"/>
      <c r="R41" s="521"/>
      <c r="S41" s="521"/>
      <c r="T41" s="521"/>
      <c r="U41" s="521"/>
      <c r="V41" s="521"/>
      <c r="W41" s="521"/>
    </row>
    <row r="42" spans="1:23" x14ac:dyDescent="0.25">
      <c r="A42" s="1574"/>
      <c r="B42" s="1557" t="s">
        <v>657</v>
      </c>
      <c r="C42" s="1557"/>
      <c r="D42" s="527" t="s">
        <v>41</v>
      </c>
      <c r="E42" s="908">
        <v>51.95</v>
      </c>
      <c r="F42" s="534">
        <v>44.02</v>
      </c>
      <c r="G42" s="528">
        <v>45.11</v>
      </c>
      <c r="H42" s="667">
        <v>46.19</v>
      </c>
      <c r="I42" s="528"/>
      <c r="J42" s="542"/>
      <c r="K42" s="523"/>
      <c r="L42" s="523"/>
      <c r="M42" s="523"/>
      <c r="N42" s="523"/>
      <c r="O42" s="523"/>
      <c r="P42" s="523"/>
      <c r="Q42" s="521"/>
      <c r="R42" s="521"/>
      <c r="S42" s="521"/>
      <c r="T42" s="521"/>
      <c r="U42" s="521"/>
      <c r="V42" s="521"/>
      <c r="W42" s="521"/>
    </row>
    <row r="43" spans="1:23" x14ac:dyDescent="0.25">
      <c r="A43" s="1575"/>
      <c r="B43" s="1565" t="s">
        <v>658</v>
      </c>
      <c r="C43" s="1565"/>
      <c r="D43" s="543" t="s">
        <v>659</v>
      </c>
      <c r="E43" s="909">
        <f>E41*1000/Employees!D8</f>
        <v>80.670059372349442</v>
      </c>
      <c r="F43" s="541">
        <v>417.76119399999999</v>
      </c>
      <c r="G43" s="563">
        <v>407.26</v>
      </c>
      <c r="H43" s="670">
        <v>389.35</v>
      </c>
      <c r="I43" s="404"/>
      <c r="J43" s="542"/>
      <c r="K43" s="521"/>
      <c r="L43" s="521"/>
      <c r="M43" s="521"/>
      <c r="N43" s="521"/>
      <c r="O43" s="521"/>
      <c r="P43" s="521"/>
      <c r="Q43" s="521"/>
      <c r="R43" s="521"/>
      <c r="S43" s="521"/>
      <c r="T43" s="521"/>
      <c r="U43" s="521"/>
      <c r="V43" s="521"/>
      <c r="W43" s="521"/>
    </row>
    <row r="44" spans="1:23" x14ac:dyDescent="0.25">
      <c r="A44" s="1574" t="s">
        <v>663</v>
      </c>
      <c r="B44" s="1597" t="s">
        <v>663</v>
      </c>
      <c r="C44" s="1597"/>
      <c r="D44" s="626" t="s">
        <v>664</v>
      </c>
      <c r="E44" s="910">
        <v>9420</v>
      </c>
      <c r="F44" s="627">
        <v>8936</v>
      </c>
      <c r="G44" s="628">
        <v>12495</v>
      </c>
      <c r="H44" s="671">
        <v>31449</v>
      </c>
      <c r="I44" s="528"/>
      <c r="J44" s="542"/>
      <c r="K44" s="521"/>
      <c r="L44" s="521"/>
      <c r="M44" s="521"/>
      <c r="N44" s="521"/>
      <c r="O44" s="521"/>
      <c r="P44" s="521"/>
      <c r="Q44" s="521"/>
      <c r="R44" s="521"/>
      <c r="S44" s="521"/>
      <c r="T44" s="521"/>
      <c r="U44" s="521"/>
      <c r="V44" s="521"/>
      <c r="W44" s="521"/>
    </row>
    <row r="45" spans="1:23" x14ac:dyDescent="0.25">
      <c r="A45" s="1591"/>
      <c r="B45" s="1578" t="s">
        <v>670</v>
      </c>
      <c r="C45" s="1579"/>
      <c r="D45" s="531" t="s">
        <v>671</v>
      </c>
      <c r="E45" s="920">
        <f>E43/E4</f>
        <v>3.9876450505363044E-2</v>
      </c>
      <c r="F45" s="935">
        <f>F43/F4</f>
        <v>0.20660790999010881</v>
      </c>
      <c r="G45" s="1322">
        <v>0.28000000000000003</v>
      </c>
      <c r="H45" s="659">
        <v>0.7</v>
      </c>
      <c r="I45" s="528"/>
      <c r="J45" s="542"/>
      <c r="K45" s="521"/>
      <c r="L45" s="521"/>
      <c r="M45" s="521"/>
      <c r="N45" s="521"/>
      <c r="O45" s="521"/>
      <c r="P45" s="521"/>
      <c r="Q45" s="521"/>
      <c r="R45" s="521"/>
      <c r="S45" s="521"/>
      <c r="T45" s="521"/>
      <c r="U45" s="521"/>
      <c r="V45" s="521"/>
      <c r="W45" s="521"/>
    </row>
    <row r="46" spans="1:23" x14ac:dyDescent="0.25">
      <c r="A46" s="1586"/>
      <c r="B46" s="1572" t="s">
        <v>677</v>
      </c>
      <c r="C46" s="1573"/>
      <c r="D46" s="637" t="s">
        <v>58</v>
      </c>
      <c r="E46" s="931">
        <f>E44/Employees!D8</f>
        <v>7.9898218829516541</v>
      </c>
      <c r="F46" s="932"/>
      <c r="G46" s="933"/>
      <c r="H46" s="934"/>
      <c r="I46" s="528"/>
      <c r="J46" s="542"/>
      <c r="K46" s="521"/>
      <c r="L46" s="521"/>
      <c r="M46" s="521"/>
      <c r="N46" s="521"/>
      <c r="O46" s="521"/>
      <c r="P46" s="521"/>
      <c r="Q46" s="521"/>
      <c r="R46" s="521"/>
      <c r="S46" s="521"/>
      <c r="T46" s="521"/>
      <c r="U46" s="521"/>
      <c r="V46" s="521"/>
      <c r="W46" s="521"/>
    </row>
    <row r="47" spans="1:23" x14ac:dyDescent="0.25">
      <c r="A47" s="26"/>
      <c r="B47" s="26"/>
      <c r="C47" s="26"/>
      <c r="D47" s="26"/>
      <c r="E47" s="26"/>
      <c r="F47" s="26"/>
      <c r="G47" s="92"/>
      <c r="H47" s="92"/>
      <c r="I47" s="26"/>
      <c r="J47" s="26"/>
      <c r="K47" s="26"/>
      <c r="L47" s="26"/>
      <c r="M47" s="26"/>
      <c r="N47" s="26"/>
      <c r="O47" s="26"/>
      <c r="P47" s="26"/>
    </row>
    <row r="48" spans="1:23" ht="127.5" customHeight="1" x14ac:dyDescent="0.25">
      <c r="A48" s="1582" t="s">
        <v>682</v>
      </c>
      <c r="B48" s="1583"/>
      <c r="C48" s="1583"/>
      <c r="D48" s="1583"/>
      <c r="E48" s="1583"/>
      <c r="F48" s="1583"/>
      <c r="G48" s="1583"/>
      <c r="H48" s="1583"/>
      <c r="I48" s="1583"/>
      <c r="J48" s="1583"/>
      <c r="K48" s="1583"/>
      <c r="L48" s="1583"/>
      <c r="M48" s="1583"/>
      <c r="N48" s="1583"/>
      <c r="O48" s="1583"/>
      <c r="P48" s="1583"/>
      <c r="Q48" s="1583"/>
      <c r="R48" s="1583"/>
      <c r="S48" s="1583"/>
      <c r="T48" s="1583"/>
      <c r="U48" s="1583"/>
      <c r="V48" s="1583"/>
      <c r="W48" s="1583"/>
    </row>
    <row r="49" spans="8:9" hidden="1" x14ac:dyDescent="0.25">
      <c r="H49" s="9"/>
      <c r="I49" s="9"/>
    </row>
    <row r="50" spans="8:9" hidden="1" x14ac:dyDescent="0.25">
      <c r="H50" s="9"/>
      <c r="I50" s="9"/>
    </row>
    <row r="51" spans="8:9" hidden="1" x14ac:dyDescent="0.25">
      <c r="H51" s="9"/>
      <c r="I51" s="9"/>
    </row>
    <row r="52" spans="8:9" hidden="1" x14ac:dyDescent="0.25">
      <c r="H52" s="9"/>
      <c r="I52" s="9"/>
    </row>
    <row r="53" spans="8:9" hidden="1" x14ac:dyDescent="0.25">
      <c r="H53" s="95"/>
      <c r="I53" s="95"/>
    </row>
    <row r="54" spans="8:9" hidden="1" x14ac:dyDescent="0.25">
      <c r="H54" s="9"/>
      <c r="I54" s="9"/>
    </row>
    <row r="55" spans="8:9" hidden="1" x14ac:dyDescent="0.25">
      <c r="H55" s="9"/>
      <c r="I55" s="9"/>
    </row>
    <row r="56" spans="8:9" hidden="1" x14ac:dyDescent="0.25">
      <c r="H56" s="9"/>
      <c r="I56" s="9"/>
    </row>
    <row r="57" spans="8:9" x14ac:dyDescent="0.25"/>
    <row r="58" spans="8:9" x14ac:dyDescent="0.25"/>
    <row r="59" spans="8:9" x14ac:dyDescent="0.25"/>
    <row r="60" spans="8:9" x14ac:dyDescent="0.25"/>
    <row r="61" spans="8:9" x14ac:dyDescent="0.25"/>
    <row r="62" spans="8:9" x14ac:dyDescent="0.25"/>
    <row r="63" spans="8:9" x14ac:dyDescent="0.25"/>
    <row r="64" spans="8:9" x14ac:dyDescent="0.25"/>
    <row r="65" x14ac:dyDescent="0.25"/>
    <row r="66" x14ac:dyDescent="0.25"/>
    <row r="67" x14ac:dyDescent="0.25"/>
    <row r="68" x14ac:dyDescent="0.25"/>
    <row r="69" x14ac:dyDescent="0.25"/>
    <row r="70" x14ac:dyDescent="0.25"/>
    <row r="71" x14ac:dyDescent="0.25"/>
    <row r="72" x14ac:dyDescent="0.25"/>
  </sheetData>
  <sheetProtection algorithmName="SHA-512" hashValue="ObaMAC8RkdLwXsJHOE4gmW0S4P/xAer049YMvucjuIiBwU0K+4XKh1qThBEFUCsZL0VGSS4oc6BPJNF1N9iWbA==" saltValue="DCg1GuTbEigoUs1zcIkEVQ==" spinCount="100000" sheet="1" objects="1" scenarios="1"/>
  <mergeCells count="120">
    <mergeCell ref="A5:A6"/>
    <mergeCell ref="A3:B3"/>
    <mergeCell ref="R3:S3"/>
    <mergeCell ref="J3:K3"/>
    <mergeCell ref="A41:A43"/>
    <mergeCell ref="A44:A46"/>
    <mergeCell ref="R22:R32"/>
    <mergeCell ref="S22:T25"/>
    <mergeCell ref="J31:J34"/>
    <mergeCell ref="A33:A36"/>
    <mergeCell ref="R33:R35"/>
    <mergeCell ref="J35:J37"/>
    <mergeCell ref="R36:R38"/>
    <mergeCell ref="A37:A40"/>
    <mergeCell ref="K37:L37"/>
    <mergeCell ref="J38:J40"/>
    <mergeCell ref="K38:L38"/>
    <mergeCell ref="B39:C39"/>
    <mergeCell ref="K39:L39"/>
    <mergeCell ref="B44:C44"/>
    <mergeCell ref="B43:C43"/>
    <mergeCell ref="B29:C29"/>
    <mergeCell ref="B27:C27"/>
    <mergeCell ref="A4:C4"/>
    <mergeCell ref="J4:L4"/>
    <mergeCell ref="R4:T4"/>
    <mergeCell ref="A7:A21"/>
    <mergeCell ref="J7:J21"/>
    <mergeCell ref="R7:R21"/>
    <mergeCell ref="B10:C10"/>
    <mergeCell ref="K10:L10"/>
    <mergeCell ref="S10:T10"/>
    <mergeCell ref="B11:C13"/>
    <mergeCell ref="K11:L13"/>
    <mergeCell ref="S11:T13"/>
    <mergeCell ref="B21:C21"/>
    <mergeCell ref="K21:L21"/>
    <mergeCell ref="S21:T21"/>
    <mergeCell ref="B15:C15"/>
    <mergeCell ref="B14:C14"/>
    <mergeCell ref="B20:C20"/>
    <mergeCell ref="B5:C5"/>
    <mergeCell ref="K5:L5"/>
    <mergeCell ref="S5:T5"/>
    <mergeCell ref="K7:L7"/>
    <mergeCell ref="K8:L8"/>
    <mergeCell ref="R5:R6"/>
    <mergeCell ref="K20:L20"/>
    <mergeCell ref="J5:J6"/>
    <mergeCell ref="A48:W48"/>
    <mergeCell ref="A2:W2"/>
    <mergeCell ref="S7:T7"/>
    <mergeCell ref="S8:T8"/>
    <mergeCell ref="S9:T9"/>
    <mergeCell ref="S14:T14"/>
    <mergeCell ref="S15:T15"/>
    <mergeCell ref="S16:T16"/>
    <mergeCell ref="S17:T17"/>
    <mergeCell ref="S18:T18"/>
    <mergeCell ref="S19:T19"/>
    <mergeCell ref="S20:T20"/>
    <mergeCell ref="K19:L19"/>
    <mergeCell ref="B7:C7"/>
    <mergeCell ref="B9:C9"/>
    <mergeCell ref="B8:C8"/>
    <mergeCell ref="K9:L9"/>
    <mergeCell ref="K14:L14"/>
    <mergeCell ref="K15:L15"/>
    <mergeCell ref="K16:L16"/>
    <mergeCell ref="B16:C16"/>
    <mergeCell ref="B30:C30"/>
    <mergeCell ref="K32:L32"/>
    <mergeCell ref="K33:L33"/>
    <mergeCell ref="B36:C36"/>
    <mergeCell ref="B26:C26"/>
    <mergeCell ref="B42:C42"/>
    <mergeCell ref="B41:C41"/>
    <mergeCell ref="B46:C46"/>
    <mergeCell ref="A22:A32"/>
    <mergeCell ref="K26:L26"/>
    <mergeCell ref="K27:L27"/>
    <mergeCell ref="K28:L28"/>
    <mergeCell ref="K29:L29"/>
    <mergeCell ref="K30:L30"/>
    <mergeCell ref="K31:L31"/>
    <mergeCell ref="K40:L40"/>
    <mergeCell ref="K34:L34"/>
    <mergeCell ref="K35:L35"/>
    <mergeCell ref="K36:L36"/>
    <mergeCell ref="B22:C25"/>
    <mergeCell ref="J22:J30"/>
    <mergeCell ref="K22:L25"/>
    <mergeCell ref="B35:C35"/>
    <mergeCell ref="B31:C31"/>
    <mergeCell ref="B34:C34"/>
    <mergeCell ref="B45:C45"/>
    <mergeCell ref="B19:C19"/>
    <mergeCell ref="B18:C18"/>
    <mergeCell ref="B38:C38"/>
    <mergeCell ref="B28:C28"/>
    <mergeCell ref="A1:W1"/>
    <mergeCell ref="S32:T32"/>
    <mergeCell ref="S33:T33"/>
    <mergeCell ref="S34:T34"/>
    <mergeCell ref="S35:T35"/>
    <mergeCell ref="S36:T36"/>
    <mergeCell ref="S37:T37"/>
    <mergeCell ref="S38:T38"/>
    <mergeCell ref="S26:T26"/>
    <mergeCell ref="S27:T27"/>
    <mergeCell ref="S28:T28"/>
    <mergeCell ref="S29:T29"/>
    <mergeCell ref="S30:T30"/>
    <mergeCell ref="S31:T31"/>
    <mergeCell ref="K17:L17"/>
    <mergeCell ref="K18:L18"/>
    <mergeCell ref="B33:C33"/>
    <mergeCell ref="B32:C32"/>
    <mergeCell ref="B37:C37"/>
    <mergeCell ref="B17:C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B8860-852B-4E34-9B1F-30FF9D968B9F}">
  <sheetPr>
    <tabColor rgb="FFAF1E2D"/>
  </sheetPr>
  <dimension ref="A1:H37"/>
  <sheetViews>
    <sheetView showGridLines="0" zoomScale="115" zoomScaleNormal="115" workbookViewId="0">
      <selection sqref="A1:G1"/>
    </sheetView>
  </sheetViews>
  <sheetFormatPr defaultColWidth="0" defaultRowHeight="15" zeroHeight="1" x14ac:dyDescent="0.25"/>
  <cols>
    <col min="1" max="1" width="44.42578125" style="1205" customWidth="1"/>
    <col min="2" max="4" width="14.85546875" style="1205" customWidth="1"/>
    <col min="5" max="5" width="14.85546875" style="1206" customWidth="1"/>
    <col min="6" max="6" width="13.28515625" style="1205" customWidth="1"/>
    <col min="7" max="7" width="13.42578125" style="1206" customWidth="1"/>
    <col min="8" max="16384" width="9.140625" style="1199" hidden="1"/>
  </cols>
  <sheetData>
    <row r="1" spans="1:8" ht="39.75" customHeight="1" x14ac:dyDescent="0.25">
      <c r="A1" s="1598" t="s">
        <v>14</v>
      </c>
      <c r="B1" s="1598"/>
      <c r="C1" s="1598"/>
      <c r="D1" s="1598"/>
      <c r="E1" s="1598"/>
      <c r="F1" s="1598"/>
      <c r="G1" s="1599"/>
    </row>
    <row r="2" spans="1:8" ht="18.75" customHeight="1" x14ac:dyDescent="0.25">
      <c r="A2" s="696" t="s">
        <v>237</v>
      </c>
      <c r="B2" s="481" t="s">
        <v>22</v>
      </c>
      <c r="C2" s="481" t="s">
        <v>683</v>
      </c>
      <c r="D2" s="481">
        <v>2023</v>
      </c>
      <c r="E2" s="482">
        <v>2022</v>
      </c>
      <c r="F2" s="482">
        <v>2021</v>
      </c>
      <c r="G2" s="483">
        <v>2020</v>
      </c>
    </row>
    <row r="3" spans="1:8" ht="27.75" customHeight="1" x14ac:dyDescent="0.25">
      <c r="A3" s="691" t="s">
        <v>684</v>
      </c>
      <c r="B3" s="197" t="s">
        <v>84</v>
      </c>
      <c r="C3" s="1364"/>
      <c r="D3" s="376">
        <f>SUM(D4:D6)</f>
        <v>551794</v>
      </c>
      <c r="E3" s="376">
        <f>SUM(E4:E6)</f>
        <v>547255</v>
      </c>
      <c r="F3" s="376"/>
      <c r="G3" s="615"/>
    </row>
    <row r="4" spans="1:8" ht="27.75" customHeight="1" x14ac:dyDescent="0.25">
      <c r="A4" s="697" t="s">
        <v>685</v>
      </c>
      <c r="B4" s="196" t="s">
        <v>686</v>
      </c>
      <c r="C4" s="1398"/>
      <c r="D4" s="423">
        <f>D12+D20+D27-10587</f>
        <v>495842</v>
      </c>
      <c r="E4" s="423">
        <f>E12+E20+E27-10745</f>
        <v>493761</v>
      </c>
      <c r="F4" s="423"/>
      <c r="G4" s="616"/>
    </row>
    <row r="5" spans="1:8" ht="28.5" customHeight="1" x14ac:dyDescent="0.25">
      <c r="A5" s="698" t="s">
        <v>687</v>
      </c>
      <c r="B5" s="180" t="s">
        <v>84</v>
      </c>
      <c r="C5" s="180"/>
      <c r="D5" s="378">
        <f>D13+D21+D28-187</f>
        <v>36925</v>
      </c>
      <c r="E5" s="378">
        <f>E13+E21+E28-187</f>
        <v>37464</v>
      </c>
      <c r="F5" s="378"/>
      <c r="G5" s="617"/>
    </row>
    <row r="6" spans="1:8" ht="27.75" customHeight="1" x14ac:dyDescent="0.25">
      <c r="A6" s="551" t="s">
        <v>688</v>
      </c>
      <c r="B6" s="179" t="s">
        <v>84</v>
      </c>
      <c r="C6" s="179"/>
      <c r="D6" s="379">
        <f>D14+D29</f>
        <v>19027</v>
      </c>
      <c r="E6" s="379">
        <f>E14+E29</f>
        <v>16030</v>
      </c>
      <c r="F6" s="379"/>
      <c r="G6" s="580"/>
    </row>
    <row r="7" spans="1:8" ht="18.75" customHeight="1" x14ac:dyDescent="0.25">
      <c r="A7" s="699" t="s">
        <v>23</v>
      </c>
      <c r="B7" s="331" t="s">
        <v>22</v>
      </c>
      <c r="C7" s="331" t="s">
        <v>683</v>
      </c>
      <c r="D7" s="612">
        <v>2023</v>
      </c>
      <c r="E7" s="611">
        <v>2022</v>
      </c>
      <c r="F7" s="332">
        <v>2021</v>
      </c>
      <c r="G7" s="333">
        <v>2020</v>
      </c>
    </row>
    <row r="8" spans="1:8" ht="29.25" customHeight="1" x14ac:dyDescent="0.25">
      <c r="A8" s="700" t="s">
        <v>77</v>
      </c>
      <c r="B8" s="196" t="s">
        <v>78</v>
      </c>
      <c r="C8" s="196">
        <v>1</v>
      </c>
      <c r="D8" s="201">
        <v>1</v>
      </c>
      <c r="E8" s="201">
        <v>1</v>
      </c>
      <c r="F8" s="201">
        <v>1</v>
      </c>
      <c r="G8" s="281">
        <v>1</v>
      </c>
    </row>
    <row r="9" spans="1:8" ht="29.25" customHeight="1" x14ac:dyDescent="0.25">
      <c r="A9" s="691" t="s">
        <v>77</v>
      </c>
      <c r="B9" s="197" t="s">
        <v>80</v>
      </c>
      <c r="C9" s="197"/>
      <c r="D9" s="376">
        <v>676</v>
      </c>
      <c r="E9" s="376">
        <v>7385</v>
      </c>
      <c r="F9" s="202">
        <v>7432</v>
      </c>
      <c r="G9" s="282">
        <v>7525</v>
      </c>
    </row>
    <row r="10" spans="1:8" ht="29.25" customHeight="1" x14ac:dyDescent="0.25">
      <c r="A10" s="77" t="s">
        <v>81</v>
      </c>
      <c r="B10" s="198" t="s">
        <v>82</v>
      </c>
      <c r="C10" s="198">
        <v>80</v>
      </c>
      <c r="D10" s="171">
        <v>76</v>
      </c>
      <c r="E10" s="171">
        <v>76</v>
      </c>
      <c r="F10" s="185">
        <v>77</v>
      </c>
      <c r="G10" s="284" t="s">
        <v>689</v>
      </c>
      <c r="H10" s="710"/>
    </row>
    <row r="11" spans="1:8" ht="27.75" customHeight="1" x14ac:dyDescent="0.25">
      <c r="A11" s="691" t="s">
        <v>684</v>
      </c>
      <c r="B11" s="197" t="s">
        <v>84</v>
      </c>
      <c r="C11" s="1364"/>
      <c r="D11" s="376">
        <v>357595</v>
      </c>
      <c r="E11" s="376">
        <v>350918</v>
      </c>
      <c r="F11" s="202">
        <v>344045</v>
      </c>
      <c r="G11" s="282">
        <v>332866</v>
      </c>
    </row>
    <row r="12" spans="1:8" ht="27.75" customHeight="1" x14ac:dyDescent="0.25">
      <c r="A12" s="697" t="s">
        <v>685</v>
      </c>
      <c r="B12" s="196" t="s">
        <v>686</v>
      </c>
      <c r="C12" s="1398"/>
      <c r="D12" s="423">
        <v>327108</v>
      </c>
      <c r="E12" s="423">
        <v>323463</v>
      </c>
      <c r="F12" s="203">
        <v>315688</v>
      </c>
      <c r="G12" s="285">
        <v>304281</v>
      </c>
    </row>
    <row r="13" spans="1:8" ht="28.5" customHeight="1" x14ac:dyDescent="0.25">
      <c r="A13" s="698" t="s">
        <v>687</v>
      </c>
      <c r="B13" s="180" t="s">
        <v>84</v>
      </c>
      <c r="C13" s="180"/>
      <c r="D13" s="378">
        <v>14935</v>
      </c>
      <c r="E13" s="378">
        <v>15290</v>
      </c>
      <c r="F13" s="204">
        <v>15874</v>
      </c>
      <c r="G13" s="286">
        <v>16081</v>
      </c>
    </row>
    <row r="14" spans="1:8" ht="27.75" customHeight="1" x14ac:dyDescent="0.25">
      <c r="A14" s="551" t="s">
        <v>688</v>
      </c>
      <c r="B14" s="179" t="s">
        <v>84</v>
      </c>
      <c r="C14" s="179"/>
      <c r="D14" s="379">
        <v>15552</v>
      </c>
      <c r="E14" s="379">
        <v>12165</v>
      </c>
      <c r="F14" s="194">
        <v>12483</v>
      </c>
      <c r="G14" s="287">
        <v>12504</v>
      </c>
    </row>
    <row r="15" spans="1:8" ht="29.25" customHeight="1" x14ac:dyDescent="0.25">
      <c r="A15" s="195" t="s">
        <v>83</v>
      </c>
      <c r="B15" s="199" t="s">
        <v>84</v>
      </c>
      <c r="C15" s="199"/>
      <c r="D15" s="424">
        <f>D11-E11</f>
        <v>6677</v>
      </c>
      <c r="E15" s="424">
        <v>6588</v>
      </c>
      <c r="F15" s="205">
        <v>11298</v>
      </c>
      <c r="G15" s="288">
        <v>14347</v>
      </c>
    </row>
    <row r="16" spans="1:8" ht="30.75" customHeight="1" x14ac:dyDescent="0.25">
      <c r="A16" s="32" t="s">
        <v>86</v>
      </c>
      <c r="B16" s="179" t="s">
        <v>41</v>
      </c>
      <c r="C16" s="179"/>
      <c r="D16" s="1212">
        <v>94</v>
      </c>
      <c r="E16" s="425">
        <v>93</v>
      </c>
      <c r="F16" s="223">
        <v>94</v>
      </c>
      <c r="G16" s="618">
        <v>94</v>
      </c>
    </row>
    <row r="17" spans="1:8" ht="30" customHeight="1" x14ac:dyDescent="0.25">
      <c r="A17" s="1180" t="s">
        <v>690</v>
      </c>
      <c r="B17" s="187" t="s">
        <v>84</v>
      </c>
      <c r="C17" s="187"/>
      <c r="D17" s="380">
        <v>7636</v>
      </c>
      <c r="E17" s="380">
        <v>7387</v>
      </c>
      <c r="F17" s="215">
        <v>5300</v>
      </c>
      <c r="G17" s="619">
        <v>3500</v>
      </c>
      <c r="H17" s="214"/>
    </row>
    <row r="18" spans="1:8" ht="16.5" customHeight="1" x14ac:dyDescent="0.25">
      <c r="A18" s="701" t="s">
        <v>25</v>
      </c>
      <c r="B18" s="207" t="s">
        <v>22</v>
      </c>
      <c r="C18" s="207" t="s">
        <v>683</v>
      </c>
      <c r="D18" s="481">
        <v>2023</v>
      </c>
      <c r="E18" s="208">
        <v>2022</v>
      </c>
      <c r="F18" s="208">
        <v>2021</v>
      </c>
      <c r="G18" s="620">
        <v>2020</v>
      </c>
    </row>
    <row r="19" spans="1:8" ht="25.5" customHeight="1" x14ac:dyDescent="0.25">
      <c r="A19" s="692" t="s">
        <v>684</v>
      </c>
      <c r="B19" s="206" t="s">
        <v>84</v>
      </c>
      <c r="C19" s="1397"/>
      <c r="D19" s="217">
        <v>29122</v>
      </c>
      <c r="E19" s="217">
        <v>29914</v>
      </c>
      <c r="F19" s="217">
        <v>29106</v>
      </c>
      <c r="G19" s="621">
        <v>27394</v>
      </c>
    </row>
    <row r="20" spans="1:8" ht="25.5" customHeight="1" x14ac:dyDescent="0.25">
      <c r="A20" s="702" t="s">
        <v>685</v>
      </c>
      <c r="B20" s="200" t="s">
        <v>686</v>
      </c>
      <c r="C20" s="218"/>
      <c r="D20" s="218">
        <v>24992</v>
      </c>
      <c r="E20" s="218">
        <v>25624</v>
      </c>
      <c r="F20" s="218">
        <v>24758</v>
      </c>
      <c r="G20" s="622">
        <v>22845</v>
      </c>
    </row>
    <row r="21" spans="1:8" ht="24" customHeight="1" x14ac:dyDescent="0.25">
      <c r="A21" s="551" t="s">
        <v>687</v>
      </c>
      <c r="B21" s="181" t="s">
        <v>84</v>
      </c>
      <c r="C21" s="225"/>
      <c r="D21" s="225">
        <v>4130</v>
      </c>
      <c r="E21" s="225">
        <v>4290</v>
      </c>
      <c r="F21" s="225">
        <v>4348</v>
      </c>
      <c r="G21" s="248">
        <v>4549</v>
      </c>
    </row>
    <row r="22" spans="1:8" x14ac:dyDescent="0.25">
      <c r="A22" s="703" t="s">
        <v>24</v>
      </c>
      <c r="B22" s="329" t="s">
        <v>22</v>
      </c>
      <c r="C22" s="613" t="s">
        <v>683</v>
      </c>
      <c r="D22" s="612">
        <v>2023</v>
      </c>
      <c r="E22" s="614">
        <v>2022</v>
      </c>
      <c r="F22" s="330">
        <v>2021</v>
      </c>
      <c r="G22" s="623">
        <v>2020</v>
      </c>
    </row>
    <row r="23" spans="1:8" ht="29.25" customHeight="1" x14ac:dyDescent="0.25">
      <c r="A23" s="700" t="s">
        <v>77</v>
      </c>
      <c r="B23" s="196" t="s">
        <v>78</v>
      </c>
      <c r="C23" s="196"/>
      <c r="D23" s="201">
        <v>15</v>
      </c>
      <c r="E23" s="201">
        <v>11</v>
      </c>
      <c r="F23" s="201"/>
      <c r="G23" s="281"/>
    </row>
    <row r="24" spans="1:8" ht="29.25" customHeight="1" x14ac:dyDescent="0.25">
      <c r="A24" s="691" t="s">
        <v>79</v>
      </c>
      <c r="B24" s="197" t="s">
        <v>80</v>
      </c>
      <c r="C24" s="197"/>
      <c r="D24" s="1182">
        <v>327</v>
      </c>
      <c r="E24" s="376">
        <v>6393</v>
      </c>
      <c r="F24" s="202"/>
      <c r="G24" s="282"/>
    </row>
    <row r="25" spans="1:8" ht="29.25" customHeight="1" x14ac:dyDescent="0.25">
      <c r="A25" s="77" t="s">
        <v>691</v>
      </c>
      <c r="B25" s="198" t="s">
        <v>82</v>
      </c>
      <c r="C25" s="198"/>
      <c r="D25" s="171">
        <v>43</v>
      </c>
      <c r="E25" s="171">
        <v>41</v>
      </c>
      <c r="F25" s="185"/>
      <c r="G25" s="284"/>
      <c r="H25" s="1200"/>
    </row>
    <row r="26" spans="1:8" ht="27.75" customHeight="1" x14ac:dyDescent="0.25">
      <c r="A26" s="691" t="s">
        <v>684</v>
      </c>
      <c r="B26" s="197" t="s">
        <v>84</v>
      </c>
      <c r="C26" s="1364"/>
      <c r="D26" s="376">
        <v>175851</v>
      </c>
      <c r="E26" s="376">
        <v>177355</v>
      </c>
      <c r="F26" s="202"/>
      <c r="G26" s="282"/>
    </row>
    <row r="27" spans="1:8" ht="27.75" customHeight="1" x14ac:dyDescent="0.25">
      <c r="A27" s="697" t="s">
        <v>685</v>
      </c>
      <c r="B27" s="196" t="s">
        <v>686</v>
      </c>
      <c r="C27" s="196"/>
      <c r="D27" s="377">
        <v>154329</v>
      </c>
      <c r="E27" s="377">
        <v>155419</v>
      </c>
      <c r="F27" s="203"/>
      <c r="G27" s="285"/>
    </row>
    <row r="28" spans="1:8" ht="28.5" customHeight="1" x14ac:dyDescent="0.25">
      <c r="A28" s="698" t="s">
        <v>687</v>
      </c>
      <c r="B28" s="180" t="s">
        <v>84</v>
      </c>
      <c r="C28" s="180"/>
      <c r="D28" s="378">
        <v>18047</v>
      </c>
      <c r="E28" s="378">
        <v>18071</v>
      </c>
      <c r="F28" s="204"/>
      <c r="G28" s="286"/>
    </row>
    <row r="29" spans="1:8" ht="27.75" customHeight="1" x14ac:dyDescent="0.25">
      <c r="A29" s="551" t="s">
        <v>692</v>
      </c>
      <c r="B29" s="179" t="s">
        <v>84</v>
      </c>
      <c r="C29" s="179"/>
      <c r="D29" s="379">
        <v>3475</v>
      </c>
      <c r="E29" s="379">
        <v>3865</v>
      </c>
      <c r="F29" s="194"/>
      <c r="G29" s="287"/>
    </row>
    <row r="30" spans="1:8" ht="29.25" customHeight="1" x14ac:dyDescent="0.25">
      <c r="A30" s="195" t="s">
        <v>83</v>
      </c>
      <c r="B30" s="199" t="s">
        <v>84</v>
      </c>
      <c r="C30" s="199"/>
      <c r="D30" s="378">
        <f>175851-177355</f>
        <v>-1504</v>
      </c>
      <c r="E30" s="378">
        <v>-9644</v>
      </c>
      <c r="F30" s="205"/>
      <c r="G30" s="288"/>
      <c r="H30" s="1200"/>
    </row>
    <row r="31" spans="1:8" ht="30.75" customHeight="1" x14ac:dyDescent="0.25">
      <c r="A31" s="704" t="s">
        <v>86</v>
      </c>
      <c r="B31" s="289" t="s">
        <v>41</v>
      </c>
      <c r="C31" s="289"/>
      <c r="D31" s="1362">
        <v>97</v>
      </c>
      <c r="E31" s="399">
        <v>96</v>
      </c>
      <c r="F31" s="290"/>
      <c r="G31" s="291"/>
    </row>
    <row r="32" spans="1:8" x14ac:dyDescent="0.25">
      <c r="A32" s="1201"/>
      <c r="B32" s="1199"/>
      <c r="C32" s="1199"/>
      <c r="D32" s="1199"/>
      <c r="E32" s="1202"/>
      <c r="F32" s="1199"/>
      <c r="G32" s="1203"/>
    </row>
    <row r="33" spans="1:7" x14ac:dyDescent="0.25">
      <c r="A33" s="1204" t="s">
        <v>693</v>
      </c>
      <c r="G33" s="1207"/>
    </row>
    <row r="34" spans="1:7" x14ac:dyDescent="0.25">
      <c r="A34" s="1208" t="s">
        <v>694</v>
      </c>
      <c r="G34" s="1207"/>
    </row>
    <row r="35" spans="1:7" x14ac:dyDescent="0.25">
      <c r="A35" s="1208" t="s">
        <v>695</v>
      </c>
      <c r="G35" s="1207"/>
    </row>
    <row r="36" spans="1:7" x14ac:dyDescent="0.25">
      <c r="A36" s="1208" t="s">
        <v>696</v>
      </c>
      <c r="G36" s="1207"/>
    </row>
    <row r="37" spans="1:7" x14ac:dyDescent="0.25">
      <c r="A37" s="1208" t="s">
        <v>697</v>
      </c>
      <c r="G37" s="1207"/>
    </row>
  </sheetData>
  <sheetProtection algorithmName="SHA-512" hashValue="l7Yk6Af5nBCmqFp5OC1a4aU3T4PYG0nr+ews8jpJZ8a6K85qujC+C8U/L9qIDMFLVH3vdam7T7T6vNzrQeRG0g==" saltValue="Fr6XazZchlyi4bPPykuAYA==" spinCount="100000" sheet="1" objects="1" scenarios="1"/>
  <mergeCells count="1">
    <mergeCell ref="A1:G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9CB06-34EC-4949-939F-E5F87FA2BA10}">
  <sheetPr>
    <tabColor rgb="FFAF1E2D"/>
  </sheetPr>
  <dimension ref="A1:J46"/>
  <sheetViews>
    <sheetView showGridLines="0" topLeftCell="A25" zoomScale="115" zoomScaleNormal="115" workbookViewId="0">
      <selection sqref="A1:G1"/>
    </sheetView>
  </sheetViews>
  <sheetFormatPr defaultColWidth="0" defaultRowHeight="15" zeroHeight="1" x14ac:dyDescent="0.25"/>
  <cols>
    <col min="1" max="1" width="59.42578125" style="1" customWidth="1"/>
    <col min="2" max="5" width="14.85546875" style="1" customWidth="1"/>
    <col min="6" max="6" width="13.28515625" style="1" customWidth="1"/>
    <col min="7" max="7" width="15" style="3" customWidth="1"/>
    <col min="8" max="16384" width="9.140625" style="1" hidden="1"/>
  </cols>
  <sheetData>
    <row r="1" spans="1:10" ht="39.75" customHeight="1" x14ac:dyDescent="0.25">
      <c r="A1" s="1600" t="s">
        <v>15</v>
      </c>
      <c r="B1" s="1601"/>
      <c r="C1" s="1601"/>
      <c r="D1" s="1601"/>
      <c r="E1" s="1601"/>
      <c r="F1" s="1601"/>
      <c r="G1" s="1602"/>
    </row>
    <row r="2" spans="1:10" ht="23.25" customHeight="1" x14ac:dyDescent="0.25">
      <c r="A2" s="575" t="s">
        <v>237</v>
      </c>
      <c r="B2" s="480" t="s">
        <v>22</v>
      </c>
      <c r="C2" s="474" t="s">
        <v>683</v>
      </c>
      <c r="D2" s="298">
        <v>2023</v>
      </c>
      <c r="E2" s="570">
        <v>2022</v>
      </c>
      <c r="F2" s="475">
        <v>2021</v>
      </c>
      <c r="G2" s="484">
        <v>2020</v>
      </c>
    </row>
    <row r="3" spans="1:10" ht="23.25" customHeight="1" x14ac:dyDescent="0.25">
      <c r="A3" s="1605" t="s">
        <v>94</v>
      </c>
      <c r="B3" s="558" t="s">
        <v>698</v>
      </c>
      <c r="C3" s="576"/>
      <c r="D3" s="307">
        <v>33</v>
      </c>
      <c r="E3" s="571">
        <v>30</v>
      </c>
      <c r="F3" s="577"/>
      <c r="G3" s="295"/>
      <c r="I3" s="1" t="s">
        <v>699</v>
      </c>
    </row>
    <row r="4" spans="1:10" ht="23.25" customHeight="1" x14ac:dyDescent="0.25">
      <c r="A4" s="1607"/>
      <c r="B4" s="312" t="s">
        <v>700</v>
      </c>
      <c r="C4" s="310"/>
      <c r="D4" s="308">
        <v>67</v>
      </c>
      <c r="E4" s="572">
        <v>70</v>
      </c>
      <c r="F4" s="296"/>
      <c r="G4" s="297"/>
      <c r="I4" s="1" t="s">
        <v>699</v>
      </c>
    </row>
    <row r="5" spans="1:10" ht="23.25" customHeight="1" x14ac:dyDescent="0.25">
      <c r="A5" s="1605" t="s">
        <v>87</v>
      </c>
      <c r="B5" s="558" t="s">
        <v>698</v>
      </c>
      <c r="C5" s="576"/>
      <c r="D5" s="307">
        <v>52</v>
      </c>
      <c r="E5" s="571">
        <v>52</v>
      </c>
      <c r="F5" s="577"/>
      <c r="G5" s="295"/>
    </row>
    <row r="6" spans="1:10" ht="23.25" customHeight="1" thickBot="1" x14ac:dyDescent="0.3">
      <c r="A6" s="1607"/>
      <c r="B6" s="312" t="s">
        <v>700</v>
      </c>
      <c r="C6" s="310"/>
      <c r="D6" s="308">
        <v>48</v>
      </c>
      <c r="E6" s="572">
        <v>48</v>
      </c>
      <c r="F6" s="296"/>
      <c r="G6" s="297"/>
    </row>
    <row r="7" spans="1:10" ht="17.25" customHeight="1" x14ac:dyDescent="0.25">
      <c r="A7" s="578" t="s">
        <v>701</v>
      </c>
      <c r="B7" s="298" t="s">
        <v>22</v>
      </c>
      <c r="C7" s="292" t="s">
        <v>683</v>
      </c>
      <c r="D7" s="480">
        <v>2023</v>
      </c>
      <c r="E7" s="573">
        <v>2022</v>
      </c>
      <c r="F7" s="293">
        <v>2021</v>
      </c>
      <c r="G7" s="294">
        <v>2020</v>
      </c>
    </row>
    <row r="8" spans="1:10" ht="19.5" customHeight="1" x14ac:dyDescent="0.25">
      <c r="A8" s="477" t="s">
        <v>75</v>
      </c>
      <c r="B8" s="1603" t="s">
        <v>76</v>
      </c>
      <c r="C8" s="579"/>
      <c r="D8" s="1181">
        <f>SUM(D9:D10)</f>
        <v>1179</v>
      </c>
      <c r="E8" s="1181">
        <f>SUM(E9:E10)</f>
        <v>1139</v>
      </c>
      <c r="F8" s="1181">
        <f>SUM(F9:F10)</f>
        <v>1069</v>
      </c>
      <c r="G8" s="1181">
        <f>SUM(G9:G10)</f>
        <v>1064.5999999999999</v>
      </c>
    </row>
    <row r="9" spans="1:10" ht="19.5" customHeight="1" x14ac:dyDescent="0.25">
      <c r="A9" s="581" t="s">
        <v>702</v>
      </c>
      <c r="B9" s="1603"/>
      <c r="C9" s="579"/>
      <c r="D9" s="954">
        <v>585</v>
      </c>
      <c r="E9" s="302">
        <v>555</v>
      </c>
      <c r="F9" s="577">
        <v>543</v>
      </c>
      <c r="G9" s="582">
        <v>551.9</v>
      </c>
    </row>
    <row r="10" spans="1:10" ht="19.5" customHeight="1" x14ac:dyDescent="0.25">
      <c r="A10" s="581" t="s">
        <v>703</v>
      </c>
      <c r="B10" s="1603"/>
      <c r="C10" s="579"/>
      <c r="D10" s="954">
        <v>594</v>
      </c>
      <c r="E10" s="302">
        <v>584</v>
      </c>
      <c r="F10" s="577">
        <v>526</v>
      </c>
      <c r="G10" s="582">
        <v>512.70000000000005</v>
      </c>
    </row>
    <row r="11" spans="1:10" ht="21.75" customHeight="1" x14ac:dyDescent="0.25">
      <c r="A11" s="1604" t="s">
        <v>87</v>
      </c>
      <c r="B11" s="299" t="s">
        <v>698</v>
      </c>
      <c r="C11" s="583"/>
      <c r="D11" s="955">
        <v>49</v>
      </c>
      <c r="E11" s="304">
        <v>49</v>
      </c>
      <c r="F11" s="584">
        <v>50.8</v>
      </c>
      <c r="G11" s="585">
        <v>51.8</v>
      </c>
      <c r="I11" s="220"/>
      <c r="J11" s="220"/>
    </row>
    <row r="12" spans="1:10" ht="22.5" customHeight="1" x14ac:dyDescent="0.25">
      <c r="A12" s="1604"/>
      <c r="B12" s="299" t="s">
        <v>700</v>
      </c>
      <c r="C12" s="583"/>
      <c r="D12" s="955">
        <v>51</v>
      </c>
      <c r="E12" s="304">
        <v>51</v>
      </c>
      <c r="F12" s="584">
        <v>49.3</v>
      </c>
      <c r="G12" s="585">
        <v>48.2</v>
      </c>
      <c r="I12" s="220"/>
      <c r="J12" s="220"/>
    </row>
    <row r="13" spans="1:10" ht="23.25" customHeight="1" x14ac:dyDescent="0.25">
      <c r="A13" s="477" t="s">
        <v>704</v>
      </c>
      <c r="B13" s="558" t="s">
        <v>76</v>
      </c>
      <c r="C13" s="579"/>
      <c r="D13" s="954">
        <v>45</v>
      </c>
      <c r="E13" s="302">
        <v>55</v>
      </c>
      <c r="F13" s="577">
        <v>40</v>
      </c>
      <c r="G13" s="295">
        <v>27</v>
      </c>
    </row>
    <row r="14" spans="1:10" ht="25.5" customHeight="1" x14ac:dyDescent="0.25">
      <c r="A14" s="1606" t="s">
        <v>94</v>
      </c>
      <c r="B14" s="299" t="s">
        <v>698</v>
      </c>
      <c r="C14" s="583" t="s">
        <v>705</v>
      </c>
      <c r="D14" s="476">
        <v>32.700000000000003</v>
      </c>
      <c r="E14" s="304">
        <v>30</v>
      </c>
      <c r="F14" s="586">
        <v>35</v>
      </c>
      <c r="G14" s="585">
        <v>35</v>
      </c>
    </row>
    <row r="15" spans="1:10" ht="22.5" customHeight="1" x14ac:dyDescent="0.25">
      <c r="A15" s="1606"/>
      <c r="B15" s="299" t="s">
        <v>700</v>
      </c>
      <c r="C15" s="583" t="s">
        <v>705</v>
      </c>
      <c r="D15" s="476">
        <v>67.3</v>
      </c>
      <c r="E15" s="304">
        <v>70</v>
      </c>
      <c r="F15" s="586">
        <v>65</v>
      </c>
      <c r="G15" s="585">
        <v>65</v>
      </c>
    </row>
    <row r="16" spans="1:10" ht="22.5" customHeight="1" x14ac:dyDescent="0.25">
      <c r="A16" s="477" t="s">
        <v>100</v>
      </c>
      <c r="B16" s="558" t="s">
        <v>101</v>
      </c>
      <c r="C16" s="579"/>
      <c r="D16" s="954">
        <v>1.1299999999999999</v>
      </c>
      <c r="E16" s="302">
        <v>1.1000000000000001</v>
      </c>
      <c r="F16" s="587">
        <v>1.17</v>
      </c>
      <c r="G16" s="588">
        <v>1.2</v>
      </c>
    </row>
    <row r="17" spans="1:7" ht="25.5" customHeight="1" x14ac:dyDescent="0.25">
      <c r="A17" s="478" t="s">
        <v>102</v>
      </c>
      <c r="B17" s="299" t="s">
        <v>103</v>
      </c>
      <c r="C17" s="583"/>
      <c r="D17" s="955">
        <v>11</v>
      </c>
      <c r="E17" s="304">
        <v>10</v>
      </c>
      <c r="F17" s="584">
        <v>11.09</v>
      </c>
      <c r="G17" s="585">
        <v>11.12</v>
      </c>
    </row>
    <row r="18" spans="1:7" s="1199" customFormat="1" ht="25.5" customHeight="1" x14ac:dyDescent="0.25">
      <c r="A18" s="1344" t="s">
        <v>706</v>
      </c>
      <c r="B18" s="558" t="s">
        <v>105</v>
      </c>
      <c r="C18" s="579"/>
      <c r="D18" s="954" t="s">
        <v>707</v>
      </c>
      <c r="E18" s="302" t="s">
        <v>107</v>
      </c>
      <c r="F18" s="577" t="s">
        <v>708</v>
      </c>
      <c r="G18" s="295"/>
    </row>
    <row r="19" spans="1:7" ht="21" customHeight="1" x14ac:dyDescent="0.25">
      <c r="A19" s="478" t="s">
        <v>109</v>
      </c>
      <c r="B19" s="299" t="s">
        <v>41</v>
      </c>
      <c r="C19" s="583"/>
      <c r="D19" s="955">
        <v>16.600000000000001</v>
      </c>
      <c r="E19" s="304">
        <v>15.8</v>
      </c>
      <c r="F19" s="589">
        <v>14.2</v>
      </c>
      <c r="G19" s="590">
        <v>11.2</v>
      </c>
    </row>
    <row r="20" spans="1:7" s="953" customFormat="1" ht="21" customHeight="1" thickBot="1" x14ac:dyDescent="0.3">
      <c r="A20" s="479" t="s">
        <v>110</v>
      </c>
      <c r="B20" s="951" t="s">
        <v>111</v>
      </c>
      <c r="C20" s="952"/>
      <c r="D20" s="956">
        <v>8.48</v>
      </c>
      <c r="E20" s="574">
        <v>8.2799999999999994</v>
      </c>
      <c r="F20" s="587">
        <v>5.78</v>
      </c>
      <c r="G20" s="588">
        <v>5.37</v>
      </c>
    </row>
    <row r="21" spans="1:7" x14ac:dyDescent="0.25">
      <c r="A21" s="591" t="s">
        <v>709</v>
      </c>
      <c r="B21" s="298" t="s">
        <v>22</v>
      </c>
      <c r="C21" s="292" t="s">
        <v>683</v>
      </c>
      <c r="D21" s="480">
        <v>2023</v>
      </c>
      <c r="E21" s="573">
        <v>2022</v>
      </c>
      <c r="F21" s="293">
        <v>2021</v>
      </c>
      <c r="G21" s="294">
        <v>2020</v>
      </c>
    </row>
    <row r="22" spans="1:7" ht="21" customHeight="1" x14ac:dyDescent="0.25">
      <c r="A22" s="477" t="s">
        <v>75</v>
      </c>
      <c r="B22" s="1603" t="s">
        <v>76</v>
      </c>
      <c r="C22" s="576"/>
      <c r="D22" s="307">
        <f>SUM(D23:D24)</f>
        <v>83</v>
      </c>
      <c r="E22" s="307">
        <f>SUM(E23:E24)</f>
        <v>90.26</v>
      </c>
      <c r="F22" s="307">
        <f>SUM(F23:F24)</f>
        <v>91.08</v>
      </c>
      <c r="G22" s="571"/>
    </row>
    <row r="23" spans="1:7" ht="19.5" customHeight="1" x14ac:dyDescent="0.25">
      <c r="A23" s="581" t="s">
        <v>702</v>
      </c>
      <c r="B23" s="1603"/>
      <c r="D23" s="307">
        <v>38</v>
      </c>
      <c r="E23" s="571">
        <v>43.06</v>
      </c>
      <c r="F23" s="221">
        <v>44.05</v>
      </c>
      <c r="G23" s="571"/>
    </row>
    <row r="24" spans="1:7" ht="20.25" customHeight="1" x14ac:dyDescent="0.25">
      <c r="A24" s="581" t="s">
        <v>703</v>
      </c>
      <c r="B24" s="1603"/>
      <c r="C24" s="576"/>
      <c r="D24" s="307">
        <v>45</v>
      </c>
      <c r="E24" s="571">
        <v>47.2</v>
      </c>
      <c r="F24" s="221">
        <v>47.03</v>
      </c>
      <c r="G24" s="571"/>
    </row>
    <row r="25" spans="1:7" ht="19.5" customHeight="1" x14ac:dyDescent="0.25">
      <c r="A25" s="1604" t="s">
        <v>87</v>
      </c>
      <c r="B25" s="299" t="s">
        <v>698</v>
      </c>
      <c r="C25" s="584"/>
      <c r="D25" s="476">
        <v>46</v>
      </c>
      <c r="E25" s="222">
        <v>47.706625304675377</v>
      </c>
      <c r="F25" s="222">
        <v>48.364075537988583</v>
      </c>
      <c r="G25" s="303"/>
    </row>
    <row r="26" spans="1:7" ht="22.5" customHeight="1" x14ac:dyDescent="0.25">
      <c r="A26" s="1604"/>
      <c r="B26" s="299" t="s">
        <v>700</v>
      </c>
      <c r="C26" s="584"/>
      <c r="D26" s="476">
        <v>54</v>
      </c>
      <c r="E26" s="222">
        <v>52.293374695324616</v>
      </c>
      <c r="F26" s="222">
        <v>51.635924462011417</v>
      </c>
      <c r="G26" s="585"/>
    </row>
    <row r="27" spans="1:7" ht="22.5" customHeight="1" x14ac:dyDescent="0.25">
      <c r="A27" s="1605" t="s">
        <v>94</v>
      </c>
      <c r="B27" s="558" t="s">
        <v>698</v>
      </c>
      <c r="C27" s="576"/>
      <c r="D27" s="307">
        <v>25</v>
      </c>
      <c r="E27" s="571">
        <v>25</v>
      </c>
      <c r="F27" s="221">
        <v>8</v>
      </c>
      <c r="G27" s="571"/>
    </row>
    <row r="28" spans="1:7" ht="21" customHeight="1" x14ac:dyDescent="0.25">
      <c r="A28" s="1605"/>
      <c r="B28" s="558" t="s">
        <v>700</v>
      </c>
      <c r="C28" s="576"/>
      <c r="D28" s="307">
        <v>75</v>
      </c>
      <c r="E28" s="571">
        <v>75</v>
      </c>
      <c r="F28" s="221">
        <v>92</v>
      </c>
      <c r="G28" s="592"/>
    </row>
    <row r="29" spans="1:7" ht="33" customHeight="1" thickBot="1" x14ac:dyDescent="0.3">
      <c r="A29" s="1346" t="s">
        <v>706</v>
      </c>
      <c r="B29" s="1347" t="s">
        <v>105</v>
      </c>
      <c r="C29" s="1348"/>
      <c r="D29" s="1345" t="s">
        <v>710</v>
      </c>
      <c r="E29" s="1349" t="s">
        <v>711</v>
      </c>
      <c r="F29" s="1350"/>
      <c r="G29" s="1351"/>
    </row>
    <row r="30" spans="1:7" x14ac:dyDescent="0.25">
      <c r="A30" s="578" t="s">
        <v>24</v>
      </c>
      <c r="B30" s="298" t="s">
        <v>22</v>
      </c>
      <c r="C30" s="292" t="s">
        <v>683</v>
      </c>
      <c r="D30" s="242">
        <v>2023</v>
      </c>
      <c r="E30" s="573">
        <v>2022</v>
      </c>
      <c r="F30" s="293">
        <v>2021</v>
      </c>
      <c r="G30" s="294">
        <v>2020</v>
      </c>
    </row>
    <row r="31" spans="1:7" ht="19.5" customHeight="1" x14ac:dyDescent="0.25">
      <c r="A31" s="477" t="s">
        <v>75</v>
      </c>
      <c r="B31" s="1603" t="s">
        <v>76</v>
      </c>
      <c r="C31" s="579"/>
      <c r="D31" s="307">
        <v>599.98</v>
      </c>
      <c r="E31" s="301">
        <v>629.36</v>
      </c>
      <c r="F31" s="301"/>
      <c r="G31" s="248"/>
    </row>
    <row r="32" spans="1:7" ht="19.5" customHeight="1" x14ac:dyDescent="0.25">
      <c r="A32" s="581" t="s">
        <v>702</v>
      </c>
      <c r="B32" s="1603"/>
      <c r="C32" s="579"/>
      <c r="D32" s="307">
        <v>350.77</v>
      </c>
      <c r="E32" s="571">
        <v>372.42</v>
      </c>
      <c r="F32" s="302"/>
      <c r="G32" s="593"/>
    </row>
    <row r="33" spans="1:10" ht="19.5" customHeight="1" x14ac:dyDescent="0.25">
      <c r="A33" s="581" t="s">
        <v>703</v>
      </c>
      <c r="B33" s="1603"/>
      <c r="C33" s="579"/>
      <c r="D33" s="307">
        <v>249.21</v>
      </c>
      <c r="E33" s="571">
        <v>256.95</v>
      </c>
      <c r="F33" s="302"/>
      <c r="G33" s="593"/>
    </row>
    <row r="34" spans="1:10" ht="21.75" customHeight="1" x14ac:dyDescent="0.25">
      <c r="A34" s="1604" t="s">
        <v>87</v>
      </c>
      <c r="B34" s="299" t="s">
        <v>698</v>
      </c>
      <c r="C34" s="583"/>
      <c r="D34" s="476">
        <f>D32/D31*100</f>
        <v>58.463615453848462</v>
      </c>
      <c r="E34" s="303">
        <v>59.174399389856362</v>
      </c>
      <c r="F34" s="303"/>
      <c r="G34" s="303"/>
      <c r="I34" s="220"/>
      <c r="J34" s="220"/>
    </row>
    <row r="35" spans="1:10" ht="22.5" customHeight="1" x14ac:dyDescent="0.25">
      <c r="A35" s="1604"/>
      <c r="B35" s="299" t="s">
        <v>700</v>
      </c>
      <c r="C35" s="583"/>
      <c r="D35" s="476">
        <f>D33/D31*100</f>
        <v>41.536384546151538</v>
      </c>
      <c r="E35" s="303">
        <v>40.827189525867546</v>
      </c>
      <c r="F35" s="303"/>
      <c r="G35" s="303"/>
      <c r="I35" s="220"/>
      <c r="J35" s="220"/>
    </row>
    <row r="36" spans="1:10" ht="23.25" customHeight="1" x14ac:dyDescent="0.25">
      <c r="A36" s="477" t="s">
        <v>704</v>
      </c>
      <c r="B36" s="558" t="s">
        <v>76</v>
      </c>
      <c r="C36" s="579"/>
      <c r="D36" s="307">
        <v>13</v>
      </c>
      <c r="E36" s="571">
        <v>7.55</v>
      </c>
      <c r="F36" s="302"/>
      <c r="G36" s="302"/>
    </row>
    <row r="37" spans="1:10" ht="25.5" customHeight="1" x14ac:dyDescent="0.25">
      <c r="A37" s="1606" t="s">
        <v>94</v>
      </c>
      <c r="B37" s="299" t="s">
        <v>698</v>
      </c>
      <c r="C37" s="583" t="s">
        <v>705</v>
      </c>
      <c r="D37" s="476">
        <f>22/65*100</f>
        <v>33.846153846153847</v>
      </c>
      <c r="E37" s="303">
        <v>31.64556962</v>
      </c>
      <c r="F37" s="304"/>
      <c r="G37" s="303"/>
    </row>
    <row r="38" spans="1:10" ht="22.5" customHeight="1" x14ac:dyDescent="0.25">
      <c r="A38" s="1606"/>
      <c r="B38" s="299" t="s">
        <v>700</v>
      </c>
      <c r="C38" s="583" t="s">
        <v>705</v>
      </c>
      <c r="D38" s="476">
        <f>43/65*100</f>
        <v>66.153846153846146</v>
      </c>
      <c r="E38" s="303">
        <v>68.354430379999997</v>
      </c>
      <c r="F38" s="304"/>
      <c r="G38" s="303"/>
    </row>
    <row r="39" spans="1:10" ht="22.5" customHeight="1" x14ac:dyDescent="0.25">
      <c r="A39" s="477" t="s">
        <v>100</v>
      </c>
      <c r="B39" s="558" t="s">
        <v>101</v>
      </c>
      <c r="C39" s="579"/>
      <c r="D39" s="307">
        <f>627000/525204</f>
        <v>1.1938218292320699</v>
      </c>
      <c r="E39" s="574">
        <v>1.2060426829268291</v>
      </c>
      <c r="F39" s="302"/>
      <c r="G39" s="302"/>
    </row>
    <row r="40" spans="1:10" ht="25.5" customHeight="1" x14ac:dyDescent="0.25">
      <c r="A40" s="478" t="s">
        <v>102</v>
      </c>
      <c r="B40" s="299" t="s">
        <v>103</v>
      </c>
      <c r="C40" s="583"/>
      <c r="D40" s="476">
        <v>13.35</v>
      </c>
      <c r="E40" s="303">
        <v>13.37</v>
      </c>
      <c r="F40" s="303"/>
      <c r="G40" s="303"/>
    </row>
    <row r="41" spans="1:10" ht="25.5" customHeight="1" x14ac:dyDescent="0.25">
      <c r="A41" s="477" t="s">
        <v>712</v>
      </c>
      <c r="B41" s="558" t="s">
        <v>105</v>
      </c>
      <c r="C41" s="579"/>
      <c r="D41" s="307">
        <v>77</v>
      </c>
      <c r="E41" s="302">
        <v>77</v>
      </c>
      <c r="F41" s="302"/>
      <c r="G41" s="302"/>
    </row>
    <row r="42" spans="1:10" ht="21" customHeight="1" x14ac:dyDescent="0.25">
      <c r="A42" s="478" t="s">
        <v>109</v>
      </c>
      <c r="B42" s="299" t="s">
        <v>41</v>
      </c>
      <c r="C42" s="583"/>
      <c r="D42" s="476">
        <f>66.28/D31*100</f>
        <v>11.047034901163372</v>
      </c>
      <c r="E42" s="305">
        <v>13.737765348925892</v>
      </c>
      <c r="F42" s="305"/>
      <c r="G42" s="305"/>
    </row>
    <row r="43" spans="1:10" ht="21.75" customHeight="1" x14ac:dyDescent="0.25">
      <c r="A43" s="594" t="s">
        <v>110</v>
      </c>
      <c r="B43" s="300" t="s">
        <v>111</v>
      </c>
      <c r="C43" s="311"/>
      <c r="D43" s="308">
        <f>4875.4/D31</f>
        <v>8.12593753125104</v>
      </c>
      <c r="E43" s="306">
        <v>7.1823439684759114</v>
      </c>
      <c r="F43" s="306"/>
      <c r="G43" s="306"/>
    </row>
    <row r="44" spans="1:10" x14ac:dyDescent="0.25">
      <c r="A44" s="949"/>
      <c r="B44" s="949"/>
      <c r="C44" s="949"/>
      <c r="D44" s="949"/>
      <c r="E44" s="949"/>
      <c r="F44" s="949"/>
      <c r="G44" s="950"/>
    </row>
    <row r="45" spans="1:10" x14ac:dyDescent="0.25">
      <c r="A45" s="1608" t="s">
        <v>693</v>
      </c>
      <c r="B45" s="1609"/>
      <c r="C45" s="1609"/>
      <c r="D45" s="1609"/>
      <c r="E45" s="1609"/>
      <c r="F45" s="1609"/>
      <c r="G45" s="1609"/>
    </row>
    <row r="46" spans="1:10" ht="93.6" customHeight="1" x14ac:dyDescent="0.25">
      <c r="A46" s="1610" t="s">
        <v>713</v>
      </c>
      <c r="B46" s="1611"/>
      <c r="C46" s="1611"/>
      <c r="D46" s="1611"/>
      <c r="E46" s="1611"/>
      <c r="F46" s="1611"/>
      <c r="G46" s="1611"/>
    </row>
  </sheetData>
  <sheetProtection algorithmName="SHA-512" hashValue="GmuYXmjLPEaCX4dOVZQYaMgpTcAqtYxIh8n5OE+1HxamGEHtRR1t5B4R3Zn/URSxZTVsgBgphDxiloyYRDMTtQ==" saltValue="GWiR8JdxypdQzdhfwRf3oA==" spinCount="100000" sheet="1" objects="1" scenarios="1"/>
  <mergeCells count="14">
    <mergeCell ref="A45:G45"/>
    <mergeCell ref="A46:G46"/>
    <mergeCell ref="B31:B33"/>
    <mergeCell ref="A34:A35"/>
    <mergeCell ref="A37:A38"/>
    <mergeCell ref="A1:G1"/>
    <mergeCell ref="B22:B24"/>
    <mergeCell ref="A25:A26"/>
    <mergeCell ref="A27:A28"/>
    <mergeCell ref="B8:B10"/>
    <mergeCell ref="A11:A12"/>
    <mergeCell ref="A14:A15"/>
    <mergeCell ref="A5:A6"/>
    <mergeCell ref="A3:A4"/>
  </mergeCells>
  <phoneticPr fontId="3" type="noConversion"/>
  <pageMargins left="0.7" right="0.7" top="0.75" bottom="0.75" header="0.3" footer="0.3"/>
  <pageSetup paperSize="9" orientation="landscape" r:id="rId1"/>
  <ignoredErrors>
    <ignoredError sqref="D22:F22 D8:G8"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B4814-619B-4865-93BA-91C47E31E620}">
  <sheetPr>
    <tabColor theme="1"/>
  </sheetPr>
  <dimension ref="A1:I30"/>
  <sheetViews>
    <sheetView showGridLines="0" zoomScale="115" zoomScaleNormal="115" workbookViewId="0">
      <selection sqref="A1:G1"/>
    </sheetView>
  </sheetViews>
  <sheetFormatPr defaultColWidth="0" defaultRowHeight="15" zeroHeight="1" x14ac:dyDescent="0.25"/>
  <cols>
    <col min="1" max="1" width="52.42578125" customWidth="1"/>
    <col min="2" max="2" width="15" customWidth="1"/>
    <col min="3" max="5" width="14.140625" customWidth="1"/>
    <col min="6" max="6" width="15.7109375" customWidth="1"/>
    <col min="7" max="7" width="15.5703125" customWidth="1"/>
    <col min="8" max="9" width="0" hidden="1" customWidth="1"/>
    <col min="10" max="16384" width="9.140625" hidden="1"/>
  </cols>
  <sheetData>
    <row r="1" spans="1:7" ht="37.5" customHeight="1" x14ac:dyDescent="0.25">
      <c r="A1" s="1614" t="s">
        <v>16</v>
      </c>
      <c r="B1" s="1615"/>
      <c r="C1" s="1615"/>
      <c r="D1" s="1615"/>
      <c r="E1" s="1615"/>
      <c r="F1" s="1615"/>
      <c r="G1" s="1616"/>
    </row>
    <row r="2" spans="1:7" x14ac:dyDescent="0.25">
      <c r="A2" s="315" t="s">
        <v>23</v>
      </c>
      <c r="B2" s="316" t="s">
        <v>22</v>
      </c>
      <c r="C2" s="317" t="s">
        <v>683</v>
      </c>
      <c r="D2" s="605">
        <v>2023</v>
      </c>
      <c r="E2" s="601">
        <v>2022</v>
      </c>
      <c r="F2" s="313">
        <v>2021</v>
      </c>
      <c r="G2" s="314">
        <v>2020</v>
      </c>
    </row>
    <row r="3" spans="1:7" ht="36.75" customHeight="1" x14ac:dyDescent="0.25">
      <c r="A3" s="327" t="s">
        <v>113</v>
      </c>
      <c r="B3" s="318" t="s">
        <v>41</v>
      </c>
      <c r="C3" s="595">
        <v>100</v>
      </c>
      <c r="D3" s="957">
        <v>92.8</v>
      </c>
      <c r="E3" s="397">
        <v>95</v>
      </c>
      <c r="F3" s="319">
        <v>96</v>
      </c>
      <c r="G3" s="320">
        <v>94</v>
      </c>
    </row>
    <row r="4" spans="1:7" ht="24.75" customHeight="1" x14ac:dyDescent="0.25">
      <c r="A4" s="1613" t="s">
        <v>714</v>
      </c>
      <c r="B4" s="238" t="s">
        <v>698</v>
      </c>
      <c r="C4" s="596" t="s">
        <v>705</v>
      </c>
      <c r="D4" s="958">
        <v>30</v>
      </c>
      <c r="E4" s="603">
        <v>33.33</v>
      </c>
      <c r="F4" s="606">
        <v>38</v>
      </c>
      <c r="G4" s="323">
        <v>36</v>
      </c>
    </row>
    <row r="5" spans="1:7" ht="22.5" customHeight="1" x14ac:dyDescent="0.25">
      <c r="A5" s="1613"/>
      <c r="B5" s="238" t="s">
        <v>700</v>
      </c>
      <c r="C5" s="596" t="s">
        <v>705</v>
      </c>
      <c r="D5" s="958">
        <v>70</v>
      </c>
      <c r="E5" s="603">
        <v>66.67</v>
      </c>
      <c r="F5" s="606">
        <v>62</v>
      </c>
      <c r="G5" s="323">
        <v>64</v>
      </c>
    </row>
    <row r="6" spans="1:7" ht="26.25" customHeight="1" x14ac:dyDescent="0.25">
      <c r="A6" s="1612" t="s">
        <v>715</v>
      </c>
      <c r="B6" s="240" t="s">
        <v>698</v>
      </c>
      <c r="C6" s="597" t="s">
        <v>705</v>
      </c>
      <c r="D6" s="1392">
        <v>20</v>
      </c>
      <c r="E6" s="604">
        <v>16.170000000000002</v>
      </c>
      <c r="F6" s="607">
        <v>0</v>
      </c>
      <c r="G6" s="321">
        <v>0</v>
      </c>
    </row>
    <row r="7" spans="1:7" ht="22.5" customHeight="1" x14ac:dyDescent="0.25">
      <c r="A7" s="1612"/>
      <c r="B7" s="240" t="s">
        <v>700</v>
      </c>
      <c r="C7" s="597" t="s">
        <v>705</v>
      </c>
      <c r="D7" s="959">
        <v>80</v>
      </c>
      <c r="E7" s="604">
        <v>83.33</v>
      </c>
      <c r="F7" s="607">
        <v>100</v>
      </c>
      <c r="G7" s="321">
        <v>100</v>
      </c>
    </row>
    <row r="8" spans="1:7" x14ac:dyDescent="0.25">
      <c r="A8" s="608" t="s">
        <v>122</v>
      </c>
      <c r="B8" s="238" t="s">
        <v>41</v>
      </c>
      <c r="C8" s="596">
        <v>100</v>
      </c>
      <c r="D8" s="958">
        <v>87</v>
      </c>
      <c r="E8" s="169">
        <v>92.5</v>
      </c>
      <c r="F8" s="606">
        <v>87.5</v>
      </c>
      <c r="G8" s="326"/>
    </row>
    <row r="9" spans="1:7" ht="34.5" customHeight="1" x14ac:dyDescent="0.25">
      <c r="A9" s="559" t="s">
        <v>716</v>
      </c>
      <c r="B9" s="240" t="s">
        <v>101</v>
      </c>
      <c r="C9" s="597"/>
      <c r="D9" s="959">
        <v>6.7</v>
      </c>
      <c r="E9" s="278">
        <v>6.3</v>
      </c>
      <c r="F9" s="607">
        <v>6.9</v>
      </c>
      <c r="G9" s="322">
        <v>6.3</v>
      </c>
    </row>
    <row r="10" spans="1:7" ht="32.450000000000003" customHeight="1" x14ac:dyDescent="0.25">
      <c r="A10" s="608" t="s">
        <v>124</v>
      </c>
      <c r="B10" s="238" t="s">
        <v>41</v>
      </c>
      <c r="C10" s="596">
        <v>100</v>
      </c>
      <c r="D10" s="960">
        <v>95.5</v>
      </c>
      <c r="E10" s="169">
        <v>95</v>
      </c>
      <c r="F10" s="606">
        <v>100</v>
      </c>
      <c r="G10" s="326"/>
    </row>
    <row r="11" spans="1:7" ht="34.5" customHeight="1" x14ac:dyDescent="0.25">
      <c r="A11" s="559" t="s">
        <v>717</v>
      </c>
      <c r="B11" s="318" t="s">
        <v>41</v>
      </c>
      <c r="C11" s="597">
        <v>100</v>
      </c>
      <c r="D11" s="959">
        <v>100</v>
      </c>
      <c r="E11" s="278"/>
      <c r="F11" s="607"/>
      <c r="G11" s="322"/>
    </row>
    <row r="12" spans="1:7" x14ac:dyDescent="0.25">
      <c r="A12" s="315" t="s">
        <v>25</v>
      </c>
      <c r="B12" s="316" t="s">
        <v>22</v>
      </c>
      <c r="C12" s="317" t="s">
        <v>683</v>
      </c>
      <c r="D12" s="605">
        <v>2023</v>
      </c>
      <c r="E12" s="601">
        <v>2022</v>
      </c>
      <c r="F12" s="313">
        <v>2021</v>
      </c>
      <c r="G12" s="314">
        <v>2020</v>
      </c>
    </row>
    <row r="13" spans="1:7" ht="23.25" customHeight="1" x14ac:dyDescent="0.25">
      <c r="A13" s="1617" t="s">
        <v>114</v>
      </c>
      <c r="B13" s="279" t="s">
        <v>698</v>
      </c>
      <c r="C13" s="598" t="s">
        <v>705</v>
      </c>
      <c r="D13" s="961">
        <v>14</v>
      </c>
      <c r="E13" s="280">
        <v>0</v>
      </c>
      <c r="F13" s="280">
        <v>0</v>
      </c>
      <c r="G13" s="609"/>
    </row>
    <row r="14" spans="1:7" ht="23.25" customHeight="1" x14ac:dyDescent="0.25">
      <c r="A14" s="1617"/>
      <c r="B14" s="279" t="s">
        <v>700</v>
      </c>
      <c r="C14" s="599" t="s">
        <v>705</v>
      </c>
      <c r="D14" s="961">
        <v>86</v>
      </c>
      <c r="E14" s="280">
        <v>100</v>
      </c>
      <c r="F14" s="280">
        <v>100</v>
      </c>
      <c r="G14" s="609"/>
    </row>
    <row r="15" spans="1:7" x14ac:dyDescent="0.25">
      <c r="A15" s="315" t="s">
        <v>24</v>
      </c>
      <c r="B15" s="316" t="s">
        <v>22</v>
      </c>
      <c r="C15" s="317" t="s">
        <v>683</v>
      </c>
      <c r="D15" s="605">
        <v>2023</v>
      </c>
      <c r="E15" s="601">
        <v>2022</v>
      </c>
      <c r="F15" s="313">
        <v>2021</v>
      </c>
      <c r="G15" s="314">
        <v>2020</v>
      </c>
    </row>
    <row r="16" spans="1:7" ht="36.75" customHeight="1" x14ac:dyDescent="0.25">
      <c r="A16" s="327" t="s">
        <v>113</v>
      </c>
      <c r="B16" s="318" t="s">
        <v>41</v>
      </c>
      <c r="C16" s="595">
        <v>100</v>
      </c>
      <c r="D16" s="1214">
        <v>97.5</v>
      </c>
      <c r="E16" s="602">
        <v>98.6</v>
      </c>
      <c r="F16" s="319"/>
      <c r="G16" s="320"/>
    </row>
    <row r="17" spans="1:7" ht="24.75" customHeight="1" x14ac:dyDescent="0.25">
      <c r="A17" s="1613" t="s">
        <v>114</v>
      </c>
      <c r="B17" s="238" t="s">
        <v>698</v>
      </c>
      <c r="C17" s="596" t="s">
        <v>705</v>
      </c>
      <c r="D17" s="962">
        <f>4/11*100</f>
        <v>36.363636363636367</v>
      </c>
      <c r="E17" s="603">
        <v>22.222222222222221</v>
      </c>
      <c r="F17" s="606"/>
      <c r="G17" s="323"/>
    </row>
    <row r="18" spans="1:7" ht="22.5" customHeight="1" x14ac:dyDescent="0.25">
      <c r="A18" s="1613"/>
      <c r="B18" s="238" t="s">
        <v>700</v>
      </c>
      <c r="C18" s="596" t="s">
        <v>705</v>
      </c>
      <c r="D18" s="962">
        <f>7/11*100</f>
        <v>63.636363636363633</v>
      </c>
      <c r="E18" s="603">
        <v>77.777777777777786</v>
      </c>
      <c r="F18" s="606"/>
      <c r="G18" s="323"/>
    </row>
    <row r="19" spans="1:7" ht="26.25" customHeight="1" x14ac:dyDescent="0.25">
      <c r="A19" s="1612" t="s">
        <v>718</v>
      </c>
      <c r="B19" s="240" t="s">
        <v>698</v>
      </c>
      <c r="C19" s="597" t="s">
        <v>705</v>
      </c>
      <c r="D19" s="959">
        <v>0</v>
      </c>
      <c r="E19" s="278">
        <v>0</v>
      </c>
      <c r="F19" s="607"/>
      <c r="G19" s="321"/>
    </row>
    <row r="20" spans="1:7" ht="22.5" customHeight="1" x14ac:dyDescent="0.25">
      <c r="A20" s="1612"/>
      <c r="B20" s="240" t="s">
        <v>700</v>
      </c>
      <c r="C20" s="597" t="s">
        <v>705</v>
      </c>
      <c r="D20" s="959">
        <v>100</v>
      </c>
      <c r="E20" s="278">
        <v>100</v>
      </c>
      <c r="F20" s="607"/>
      <c r="G20" s="321"/>
    </row>
    <row r="21" spans="1:7" ht="35.25" customHeight="1" x14ac:dyDescent="0.25">
      <c r="A21" s="328" t="s">
        <v>122</v>
      </c>
      <c r="B21" s="324" t="s">
        <v>41</v>
      </c>
      <c r="C21" s="600">
        <v>100</v>
      </c>
      <c r="D21" s="962">
        <v>95</v>
      </c>
      <c r="E21" s="603">
        <v>100</v>
      </c>
      <c r="F21" s="610"/>
      <c r="G21" s="325"/>
    </row>
    <row r="22" spans="1:7" ht="34.5" customHeight="1" x14ac:dyDescent="0.25">
      <c r="A22" s="559" t="s">
        <v>716</v>
      </c>
      <c r="B22" s="240" t="s">
        <v>101</v>
      </c>
      <c r="C22" s="597"/>
      <c r="D22" s="963">
        <f>4300000/564732</f>
        <v>7.6142311751414828</v>
      </c>
      <c r="E22" s="604">
        <v>7.4272133095662509</v>
      </c>
      <c r="F22" s="607"/>
      <c r="G22" s="322"/>
    </row>
    <row r="23" spans="1:7" ht="27" customHeight="1" x14ac:dyDescent="0.25">
      <c r="A23" s="608" t="s">
        <v>124</v>
      </c>
      <c r="B23" s="238" t="s">
        <v>41</v>
      </c>
      <c r="C23" s="238">
        <v>100</v>
      </c>
      <c r="D23" s="603">
        <v>98</v>
      </c>
      <c r="E23" s="603">
        <v>78.930000000000007</v>
      </c>
      <c r="F23" s="606"/>
      <c r="G23" s="326"/>
    </row>
    <row r="24" spans="1:7" ht="27" customHeight="1" x14ac:dyDescent="0.25">
      <c r="A24" s="872" t="s">
        <v>719</v>
      </c>
      <c r="B24" s="1215" t="s">
        <v>41</v>
      </c>
      <c r="C24" s="1216">
        <v>100</v>
      </c>
      <c r="D24" s="1219">
        <v>47</v>
      </c>
      <c r="E24" s="1217"/>
      <c r="F24" s="877"/>
      <c r="G24" s="1218"/>
    </row>
    <row r="25" spans="1:7" x14ac:dyDescent="0.25"/>
    <row r="26" spans="1:7" x14ac:dyDescent="0.25">
      <c r="A26" s="1608" t="s">
        <v>693</v>
      </c>
      <c r="B26" s="1609"/>
      <c r="C26" s="1609"/>
      <c r="D26" s="1609"/>
      <c r="E26" s="1609"/>
      <c r="F26" s="1609"/>
      <c r="G26" s="1609"/>
    </row>
    <row r="27" spans="1:7" ht="111.95" customHeight="1" x14ac:dyDescent="0.25">
      <c r="A27" s="1610" t="s">
        <v>720</v>
      </c>
      <c r="B27" s="1611"/>
      <c r="C27" s="1611"/>
      <c r="D27" s="1611"/>
      <c r="E27" s="1611"/>
      <c r="F27" s="1611"/>
      <c r="G27" s="1611"/>
    </row>
    <row r="30" spans="1:7" ht="33" hidden="1" customHeight="1" x14ac:dyDescent="0.25"/>
  </sheetData>
  <sheetProtection algorithmName="SHA-512" hashValue="ih5MApvoIQ/EcitSdLd65cSYBc8KPYuhjoZEO1DrR9rCu0gKS9wn+82X75KeVhVzpZAW0e/1dk6vt71KnspEoQ==" saltValue="JY/B2A96QNdA59s6hN58BA==" spinCount="100000" sheet="1" objects="1" scenarios="1"/>
  <mergeCells count="8">
    <mergeCell ref="A27:G27"/>
    <mergeCell ref="A19:A20"/>
    <mergeCell ref="A6:A7"/>
    <mergeCell ref="A4:A5"/>
    <mergeCell ref="A1:G1"/>
    <mergeCell ref="A13:A14"/>
    <mergeCell ref="A17:A18"/>
    <mergeCell ref="A26:G26"/>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A0319-E57B-429B-BC19-A427D9487CE8}">
  <sheetPr>
    <tabColor theme="6" tint="0.39997558519241921"/>
  </sheetPr>
  <dimension ref="A1:H52"/>
  <sheetViews>
    <sheetView showGridLines="0" topLeftCell="A17" zoomScale="85" zoomScaleNormal="85" workbookViewId="0">
      <selection activeCell="D25" sqref="D25"/>
    </sheetView>
  </sheetViews>
  <sheetFormatPr defaultColWidth="0" defaultRowHeight="15" zeroHeight="1" x14ac:dyDescent="0.25"/>
  <cols>
    <col min="1" max="1" width="41.28515625" customWidth="1"/>
    <col min="2" max="3" width="21.28515625" customWidth="1"/>
    <col min="4" max="4" width="61.7109375" customWidth="1"/>
    <col min="5" max="6" width="30" customWidth="1"/>
    <col min="7" max="7" width="61.7109375" customWidth="1"/>
    <col min="8" max="16384" width="9.140625" hidden="1"/>
  </cols>
  <sheetData>
    <row r="1" spans="1:7" ht="37.5" customHeight="1" x14ac:dyDescent="0.25">
      <c r="A1" s="338" t="s">
        <v>721</v>
      </c>
      <c r="B1" s="338"/>
      <c r="C1" s="338"/>
      <c r="D1" s="338"/>
      <c r="E1" s="338"/>
      <c r="F1" s="338"/>
      <c r="G1" s="338"/>
    </row>
    <row r="2" spans="1:7" s="339" customFormat="1" ht="31.5" customHeight="1" thickBot="1" x14ac:dyDescent="0.3">
      <c r="A2" s="353" t="s">
        <v>722</v>
      </c>
      <c r="B2" s="345" t="s">
        <v>723</v>
      </c>
      <c r="C2" s="345" t="s">
        <v>724</v>
      </c>
      <c r="D2" s="354" t="s">
        <v>725</v>
      </c>
      <c r="E2" s="344" t="s">
        <v>726</v>
      </c>
      <c r="F2" s="345" t="s">
        <v>724</v>
      </c>
      <c r="G2" s="354" t="s">
        <v>725</v>
      </c>
    </row>
    <row r="3" spans="1:7" ht="62.25" customHeight="1" x14ac:dyDescent="0.25">
      <c r="A3" s="749" t="s">
        <v>727</v>
      </c>
      <c r="B3" s="351" t="s">
        <v>237</v>
      </c>
      <c r="C3" s="351" t="s">
        <v>728</v>
      </c>
      <c r="D3" s="357" t="s">
        <v>729</v>
      </c>
      <c r="E3" s="350"/>
      <c r="F3" s="351"/>
      <c r="G3" s="352"/>
    </row>
    <row r="4" spans="1:7" ht="24.95" customHeight="1" x14ac:dyDescent="0.25">
      <c r="A4" s="358" t="s">
        <v>730</v>
      </c>
      <c r="B4" s="348" t="s">
        <v>237</v>
      </c>
      <c r="C4" s="348" t="s">
        <v>728</v>
      </c>
      <c r="D4" s="431" t="s">
        <v>731</v>
      </c>
      <c r="E4" s="347"/>
      <c r="F4" s="348"/>
      <c r="G4" s="349"/>
    </row>
    <row r="5" spans="1:7" ht="24.95" customHeight="1" x14ac:dyDescent="0.25">
      <c r="A5" s="356" t="s">
        <v>732</v>
      </c>
      <c r="B5" s="351" t="s">
        <v>237</v>
      </c>
      <c r="C5" s="351" t="s">
        <v>728</v>
      </c>
      <c r="D5" s="357" t="s">
        <v>731</v>
      </c>
      <c r="E5" s="350"/>
      <c r="F5" s="351"/>
      <c r="G5" s="352"/>
    </row>
    <row r="6" spans="1:7" ht="24.95" customHeight="1" x14ac:dyDescent="0.25">
      <c r="A6" s="358" t="s">
        <v>733</v>
      </c>
      <c r="B6" s="348" t="s">
        <v>237</v>
      </c>
      <c r="C6" s="348" t="s">
        <v>728</v>
      </c>
      <c r="D6" s="431" t="s">
        <v>731</v>
      </c>
      <c r="E6" s="347"/>
      <c r="F6" s="348"/>
      <c r="G6" s="349"/>
    </row>
    <row r="7" spans="1:7" ht="24.95" customHeight="1" x14ac:dyDescent="0.25">
      <c r="A7" s="749" t="s">
        <v>734</v>
      </c>
      <c r="B7" s="351" t="s">
        <v>237</v>
      </c>
      <c r="C7" s="351" t="s">
        <v>728</v>
      </c>
      <c r="D7" s="357"/>
      <c r="E7" s="350"/>
      <c r="F7" s="351"/>
      <c r="G7" s="352"/>
    </row>
    <row r="8" spans="1:7" ht="24.95" customHeight="1" x14ac:dyDescent="0.25">
      <c r="A8" s="358" t="s">
        <v>735</v>
      </c>
      <c r="B8" s="348" t="s">
        <v>237</v>
      </c>
      <c r="C8" s="348" t="s">
        <v>728</v>
      </c>
      <c r="D8" s="431" t="s">
        <v>731</v>
      </c>
      <c r="E8" s="347"/>
      <c r="F8" s="348"/>
      <c r="G8" s="349"/>
    </row>
    <row r="9" spans="1:7" ht="24.95" customHeight="1" x14ac:dyDescent="0.25">
      <c r="A9" s="749" t="s">
        <v>736</v>
      </c>
      <c r="B9" s="351" t="s">
        <v>737</v>
      </c>
      <c r="C9" s="351" t="s">
        <v>728</v>
      </c>
      <c r="D9" s="357"/>
      <c r="E9" s="350" t="s">
        <v>736</v>
      </c>
      <c r="F9" s="351" t="s">
        <v>728</v>
      </c>
      <c r="G9" s="352"/>
    </row>
    <row r="10" spans="1:7" ht="24.95" customHeight="1" x14ac:dyDescent="0.25">
      <c r="A10" s="358" t="s">
        <v>738</v>
      </c>
      <c r="B10" s="348" t="s">
        <v>737</v>
      </c>
      <c r="C10" s="348" t="s">
        <v>728</v>
      </c>
      <c r="D10" s="431" t="s">
        <v>739</v>
      </c>
      <c r="E10" s="347"/>
      <c r="F10" s="348"/>
      <c r="G10" s="349"/>
    </row>
    <row r="11" spans="1:7" ht="24.95" customHeight="1" x14ac:dyDescent="0.25">
      <c r="A11" s="749" t="s">
        <v>740</v>
      </c>
      <c r="B11" s="351" t="s">
        <v>737</v>
      </c>
      <c r="C11" s="351" t="s">
        <v>741</v>
      </c>
      <c r="D11" s="357"/>
      <c r="E11" s="350" t="s">
        <v>740</v>
      </c>
      <c r="F11" s="351" t="s">
        <v>741</v>
      </c>
      <c r="G11" s="352"/>
    </row>
    <row r="12" spans="1:7" ht="33" customHeight="1" x14ac:dyDescent="0.25">
      <c r="A12" s="750" t="s">
        <v>742</v>
      </c>
      <c r="B12" s="348" t="s">
        <v>737</v>
      </c>
      <c r="C12" s="348" t="s">
        <v>728</v>
      </c>
      <c r="D12" s="431" t="s">
        <v>743</v>
      </c>
      <c r="E12" s="347" t="s">
        <v>742</v>
      </c>
      <c r="F12" s="348" t="s">
        <v>728</v>
      </c>
      <c r="G12" s="349"/>
    </row>
    <row r="13" spans="1:7" ht="40.5" customHeight="1" x14ac:dyDescent="0.25">
      <c r="A13" s="749" t="s">
        <v>744</v>
      </c>
      <c r="B13" s="351" t="s">
        <v>737</v>
      </c>
      <c r="C13" s="351" t="s">
        <v>728</v>
      </c>
      <c r="D13" s="357" t="s">
        <v>745</v>
      </c>
      <c r="E13" s="350" t="s">
        <v>746</v>
      </c>
      <c r="F13" s="351" t="s">
        <v>728</v>
      </c>
      <c r="G13" s="352" t="s">
        <v>747</v>
      </c>
    </row>
    <row r="14" spans="1:7" ht="24.95" customHeight="1" x14ac:dyDescent="0.25">
      <c r="A14" s="750" t="s">
        <v>748</v>
      </c>
      <c r="B14" s="348" t="s">
        <v>737</v>
      </c>
      <c r="C14" s="348" t="s">
        <v>728</v>
      </c>
      <c r="D14" s="431"/>
      <c r="E14" s="347" t="s">
        <v>748</v>
      </c>
      <c r="F14" s="348" t="s">
        <v>728</v>
      </c>
      <c r="G14" s="349"/>
    </row>
    <row r="15" spans="1:7" ht="24.95" customHeight="1" x14ac:dyDescent="0.25">
      <c r="A15" s="356" t="s">
        <v>749</v>
      </c>
      <c r="B15" s="351" t="s">
        <v>737</v>
      </c>
      <c r="C15" s="351" t="s">
        <v>728</v>
      </c>
      <c r="D15" s="1363" t="s">
        <v>750</v>
      </c>
      <c r="E15" s="350" t="s">
        <v>749</v>
      </c>
      <c r="F15" s="351" t="s">
        <v>728</v>
      </c>
      <c r="G15" s="352" t="s">
        <v>731</v>
      </c>
    </row>
    <row r="16" spans="1:7" ht="33.75" customHeight="1" x14ac:dyDescent="0.25">
      <c r="A16" s="750" t="s">
        <v>751</v>
      </c>
      <c r="B16" s="348" t="s">
        <v>737</v>
      </c>
      <c r="C16" s="348" t="s">
        <v>728</v>
      </c>
      <c r="D16" s="431" t="s">
        <v>752</v>
      </c>
      <c r="E16" s="347" t="s">
        <v>753</v>
      </c>
      <c r="F16" s="348" t="s">
        <v>728</v>
      </c>
      <c r="G16" s="349" t="s">
        <v>731</v>
      </c>
    </row>
    <row r="17" spans="1:8" ht="35.25" customHeight="1" x14ac:dyDescent="0.25">
      <c r="A17" s="749" t="s">
        <v>754</v>
      </c>
      <c r="B17" s="351" t="s">
        <v>737</v>
      </c>
      <c r="C17" s="351" t="s">
        <v>728</v>
      </c>
      <c r="D17" s="357"/>
      <c r="E17" s="350" t="s">
        <v>754</v>
      </c>
      <c r="F17" s="351" t="s">
        <v>728</v>
      </c>
      <c r="G17" s="352" t="s">
        <v>731</v>
      </c>
    </row>
    <row r="18" spans="1:8" ht="24.95" customHeight="1" x14ac:dyDescent="0.25">
      <c r="A18" s="358" t="s">
        <v>755</v>
      </c>
      <c r="B18" s="348" t="s">
        <v>737</v>
      </c>
      <c r="C18" s="348" t="s">
        <v>728</v>
      </c>
      <c r="D18" s="431" t="s">
        <v>731</v>
      </c>
      <c r="E18" s="347" t="s">
        <v>755</v>
      </c>
      <c r="F18" s="348" t="s">
        <v>728</v>
      </c>
      <c r="G18" s="349" t="s">
        <v>731</v>
      </c>
    </row>
    <row r="19" spans="1:8" ht="24.95" customHeight="1" x14ac:dyDescent="0.25">
      <c r="A19" s="356" t="s">
        <v>756</v>
      </c>
      <c r="B19" s="351" t="s">
        <v>737</v>
      </c>
      <c r="C19" s="351" t="s">
        <v>728</v>
      </c>
      <c r="D19" s="357" t="s">
        <v>757</v>
      </c>
      <c r="E19" s="350" t="s">
        <v>758</v>
      </c>
      <c r="F19" s="351" t="s">
        <v>728</v>
      </c>
      <c r="G19" s="352" t="s">
        <v>731</v>
      </c>
    </row>
    <row r="20" spans="1:8" ht="24.95" customHeight="1" x14ac:dyDescent="0.25">
      <c r="A20" s="358" t="s">
        <v>759</v>
      </c>
      <c r="B20" s="348" t="s">
        <v>737</v>
      </c>
      <c r="C20" s="348" t="s">
        <v>760</v>
      </c>
      <c r="D20" s="431" t="s">
        <v>761</v>
      </c>
      <c r="E20" s="347"/>
      <c r="F20" s="348"/>
      <c r="G20" s="349"/>
    </row>
    <row r="21" spans="1:8" ht="24.95" customHeight="1" x14ac:dyDescent="0.25">
      <c r="A21" s="356" t="s">
        <v>762</v>
      </c>
      <c r="B21" s="351" t="s">
        <v>737</v>
      </c>
      <c r="C21" s="351" t="s">
        <v>760</v>
      </c>
      <c r="D21" s="357" t="s">
        <v>763</v>
      </c>
      <c r="E21" s="350" t="s">
        <v>762</v>
      </c>
      <c r="F21" s="351"/>
      <c r="G21" s="352" t="s">
        <v>764</v>
      </c>
    </row>
    <row r="22" spans="1:8" ht="24.95" customHeight="1" x14ac:dyDescent="0.25">
      <c r="A22" s="358" t="s">
        <v>765</v>
      </c>
      <c r="B22" s="348" t="s">
        <v>737</v>
      </c>
      <c r="C22" s="348" t="s">
        <v>760</v>
      </c>
      <c r="D22" s="431" t="s">
        <v>763</v>
      </c>
      <c r="E22" s="347" t="s">
        <v>765</v>
      </c>
      <c r="F22" s="348"/>
      <c r="G22" s="349" t="s">
        <v>764</v>
      </c>
      <c r="H22" t="s">
        <v>766</v>
      </c>
    </row>
    <row r="23" spans="1:8" ht="24.95" customHeight="1" x14ac:dyDescent="0.25">
      <c r="A23" s="356" t="s">
        <v>767</v>
      </c>
      <c r="B23" s="351" t="s">
        <v>737</v>
      </c>
      <c r="C23" s="351" t="s">
        <v>760</v>
      </c>
      <c r="D23" s="357" t="s">
        <v>763</v>
      </c>
      <c r="E23" s="350" t="s">
        <v>767</v>
      </c>
      <c r="F23" s="351"/>
      <c r="G23" s="352" t="s">
        <v>764</v>
      </c>
      <c r="H23" t="s">
        <v>766</v>
      </c>
    </row>
    <row r="24" spans="1:8" ht="24.95" customHeight="1" x14ac:dyDescent="0.25">
      <c r="A24" s="358" t="s">
        <v>768</v>
      </c>
      <c r="B24" s="348" t="s">
        <v>737</v>
      </c>
      <c r="C24" s="348" t="s">
        <v>760</v>
      </c>
      <c r="D24" s="431" t="s">
        <v>763</v>
      </c>
      <c r="E24" s="347" t="s">
        <v>768</v>
      </c>
      <c r="F24" s="348"/>
      <c r="G24" s="349" t="s">
        <v>764</v>
      </c>
      <c r="H24" t="s">
        <v>766</v>
      </c>
    </row>
    <row r="25" spans="1:8" ht="24.95" customHeight="1" x14ac:dyDescent="0.25">
      <c r="A25" s="356" t="s">
        <v>769</v>
      </c>
      <c r="B25" s="351" t="s">
        <v>737</v>
      </c>
      <c r="C25" s="351" t="s">
        <v>760</v>
      </c>
      <c r="D25" s="357" t="s">
        <v>763</v>
      </c>
      <c r="E25" s="350" t="s">
        <v>769</v>
      </c>
      <c r="F25" s="351"/>
      <c r="G25" s="352" t="s">
        <v>764</v>
      </c>
      <c r="H25" t="s">
        <v>766</v>
      </c>
    </row>
    <row r="26" spans="1:8" ht="24.95" customHeight="1" x14ac:dyDescent="0.25">
      <c r="A26" s="358" t="s">
        <v>770</v>
      </c>
      <c r="B26" s="348" t="s">
        <v>737</v>
      </c>
      <c r="C26" s="348" t="s">
        <v>760</v>
      </c>
      <c r="D26" s="431" t="s">
        <v>763</v>
      </c>
      <c r="E26" s="347" t="s">
        <v>770</v>
      </c>
      <c r="F26" s="348"/>
      <c r="G26" s="349" t="s">
        <v>764</v>
      </c>
      <c r="H26" t="s">
        <v>766</v>
      </c>
    </row>
    <row r="27" spans="1:8" ht="24.95" customHeight="1" x14ac:dyDescent="0.25">
      <c r="A27" s="356" t="s">
        <v>771</v>
      </c>
      <c r="B27" s="351" t="s">
        <v>737</v>
      </c>
      <c r="C27" s="351" t="s">
        <v>760</v>
      </c>
      <c r="D27" s="357" t="s">
        <v>763</v>
      </c>
      <c r="E27" s="350" t="s">
        <v>771</v>
      </c>
      <c r="F27" s="351"/>
      <c r="G27" s="352" t="s">
        <v>764</v>
      </c>
      <c r="H27" t="s">
        <v>766</v>
      </c>
    </row>
    <row r="28" spans="1:8" ht="24.95" customHeight="1" x14ac:dyDescent="0.25">
      <c r="A28" s="358" t="s">
        <v>772</v>
      </c>
      <c r="B28" s="348" t="s">
        <v>737</v>
      </c>
      <c r="C28" s="348" t="s">
        <v>760</v>
      </c>
      <c r="D28" s="355" t="s">
        <v>764</v>
      </c>
      <c r="E28" s="347" t="s">
        <v>772</v>
      </c>
      <c r="F28" s="348"/>
      <c r="G28" s="349" t="s">
        <v>764</v>
      </c>
      <c r="H28" t="s">
        <v>766</v>
      </c>
    </row>
    <row r="29" spans="1:8" ht="24.95" customHeight="1" x14ac:dyDescent="0.25">
      <c r="A29" s="356" t="s">
        <v>773</v>
      </c>
      <c r="B29" s="351" t="s">
        <v>737</v>
      </c>
      <c r="C29" s="351" t="s">
        <v>760</v>
      </c>
      <c r="D29" s="357"/>
      <c r="E29" s="350"/>
      <c r="F29" s="351"/>
      <c r="G29" s="352"/>
    </row>
    <row r="30" spans="1:8" ht="24.95" customHeight="1" x14ac:dyDescent="0.25">
      <c r="A30" s="358" t="s">
        <v>774</v>
      </c>
      <c r="B30" s="348" t="s">
        <v>737</v>
      </c>
      <c r="C30" s="348" t="s">
        <v>775</v>
      </c>
      <c r="D30" s="355" t="s">
        <v>731</v>
      </c>
      <c r="E30" s="347" t="s">
        <v>774</v>
      </c>
      <c r="F30" s="348"/>
      <c r="G30" s="349" t="s">
        <v>764</v>
      </c>
      <c r="H30" t="s">
        <v>766</v>
      </c>
    </row>
    <row r="31" spans="1:8" ht="24.95" customHeight="1" x14ac:dyDescent="0.25">
      <c r="A31" s="356" t="s">
        <v>776</v>
      </c>
      <c r="B31" s="351" t="s">
        <v>237</v>
      </c>
      <c r="C31" s="351" t="s">
        <v>775</v>
      </c>
      <c r="D31" s="357" t="s">
        <v>731</v>
      </c>
      <c r="E31" s="350"/>
      <c r="F31" s="351"/>
      <c r="G31" s="352"/>
      <c r="H31" t="s">
        <v>766</v>
      </c>
    </row>
    <row r="32" spans="1:8" ht="24.95" customHeight="1" x14ac:dyDescent="0.25">
      <c r="A32" s="1399" t="s">
        <v>777</v>
      </c>
      <c r="B32" s="1400" t="s">
        <v>737</v>
      </c>
      <c r="C32" s="1400" t="s">
        <v>775</v>
      </c>
      <c r="D32" s="355" t="s">
        <v>731</v>
      </c>
      <c r="E32" s="347" t="s">
        <v>777</v>
      </c>
      <c r="F32" s="348"/>
      <c r="G32" s="349" t="s">
        <v>764</v>
      </c>
      <c r="H32" t="s">
        <v>766</v>
      </c>
    </row>
    <row r="33" spans="1:8" s="339" customFormat="1" ht="15.75" thickBot="1" x14ac:dyDescent="0.3">
      <c r="A33" s="353" t="s">
        <v>778</v>
      </c>
      <c r="B33" s="345" t="s">
        <v>779</v>
      </c>
      <c r="C33" s="1618" t="s">
        <v>725</v>
      </c>
      <c r="D33" s="1619"/>
      <c r="E33" s="353" t="s">
        <v>780</v>
      </c>
      <c r="F33" s="359" t="s">
        <v>779</v>
      </c>
      <c r="G33" s="1618" t="s">
        <v>725</v>
      </c>
      <c r="H33" s="1619"/>
    </row>
    <row r="34" spans="1:8" ht="57.75" customHeight="1" x14ac:dyDescent="0.25">
      <c r="A34" s="745" t="s">
        <v>781</v>
      </c>
      <c r="B34" s="485" t="s">
        <v>728</v>
      </c>
      <c r="C34" s="1623" t="s">
        <v>782</v>
      </c>
      <c r="D34" s="1624"/>
      <c r="E34" s="411" t="s">
        <v>783</v>
      </c>
      <c r="F34" s="412" t="s">
        <v>728</v>
      </c>
      <c r="G34" s="360"/>
      <c r="H34" s="361"/>
    </row>
    <row r="35" spans="1:8" s="18" customFormat="1" ht="24.95" customHeight="1" x14ac:dyDescent="0.25">
      <c r="A35" s="746" t="s">
        <v>784</v>
      </c>
      <c r="B35" s="414" t="s">
        <v>728</v>
      </c>
      <c r="C35" s="1625"/>
      <c r="D35" s="1626"/>
      <c r="E35" s="413" t="s">
        <v>784</v>
      </c>
      <c r="F35" s="415" t="s">
        <v>728</v>
      </c>
      <c r="G35" s="362"/>
      <c r="H35" s="363"/>
    </row>
    <row r="36" spans="1:8" ht="24.95" customHeight="1" x14ac:dyDescent="0.25">
      <c r="A36" s="747" t="s">
        <v>785</v>
      </c>
      <c r="B36" s="417" t="s">
        <v>728</v>
      </c>
      <c r="C36" s="1627"/>
      <c r="D36" s="1628"/>
      <c r="E36" s="416" t="s">
        <v>785</v>
      </c>
      <c r="F36" s="418" t="s">
        <v>728</v>
      </c>
      <c r="G36" s="364"/>
      <c r="H36" s="361"/>
    </row>
    <row r="37" spans="1:8" s="18" customFormat="1" ht="24.95" customHeight="1" x14ac:dyDescent="0.25">
      <c r="A37" s="746" t="s">
        <v>786</v>
      </c>
      <c r="B37" s="414" t="s">
        <v>728</v>
      </c>
      <c r="C37" s="1629"/>
      <c r="D37" s="1630"/>
      <c r="E37" s="413" t="s">
        <v>786</v>
      </c>
      <c r="F37" s="415" t="s">
        <v>728</v>
      </c>
      <c r="G37" s="362"/>
      <c r="H37" s="363"/>
    </row>
    <row r="38" spans="1:8" ht="24.95" customHeight="1" x14ac:dyDescent="0.25">
      <c r="A38" s="748" t="s">
        <v>787</v>
      </c>
      <c r="B38" s="510"/>
      <c r="C38" s="1631" t="s">
        <v>788</v>
      </c>
      <c r="D38" s="1632"/>
      <c r="E38" s="365"/>
      <c r="F38" s="366"/>
      <c r="G38" s="366"/>
      <c r="H38" s="367"/>
    </row>
    <row r="39" spans="1:8" s="339" customFormat="1" ht="15.75" thickBot="1" x14ac:dyDescent="0.3">
      <c r="A39" s="353" t="s">
        <v>789</v>
      </c>
      <c r="B39" s="359"/>
      <c r="C39" s="359"/>
      <c r="D39" s="359"/>
      <c r="E39" s="345" t="s">
        <v>790</v>
      </c>
      <c r="F39" s="487"/>
      <c r="G39" s="354"/>
    </row>
    <row r="40" spans="1:8" ht="69.95" customHeight="1" x14ac:dyDescent="0.25">
      <c r="A40" s="488" t="s">
        <v>791</v>
      </c>
      <c r="B40" s="32"/>
      <c r="C40" s="1421" t="s">
        <v>792</v>
      </c>
      <c r="D40" s="1421"/>
      <c r="E40" s="334">
        <v>2021</v>
      </c>
      <c r="F40" s="341"/>
      <c r="G40" s="489"/>
    </row>
    <row r="41" spans="1:8" ht="69.95" customHeight="1" x14ac:dyDescent="0.25">
      <c r="A41" s="490" t="s">
        <v>793</v>
      </c>
      <c r="B41" s="188"/>
      <c r="C41" s="1622" t="s">
        <v>794</v>
      </c>
      <c r="D41" s="1622"/>
      <c r="E41" s="335">
        <v>2021</v>
      </c>
      <c r="F41" s="342"/>
      <c r="G41" s="491"/>
    </row>
    <row r="42" spans="1:8" ht="69.95" customHeight="1" x14ac:dyDescent="0.25">
      <c r="A42" s="492" t="s">
        <v>795</v>
      </c>
      <c r="B42" s="190"/>
      <c r="C42" s="1634" t="s">
        <v>796</v>
      </c>
      <c r="D42" s="1634"/>
      <c r="E42" s="336">
        <v>2021</v>
      </c>
      <c r="F42" s="343"/>
      <c r="G42" s="493"/>
    </row>
    <row r="43" spans="1:8" ht="79.5" customHeight="1" x14ac:dyDescent="0.25">
      <c r="A43" s="490" t="s">
        <v>797</v>
      </c>
      <c r="B43" s="188"/>
      <c r="C43" s="1620" t="s">
        <v>798</v>
      </c>
      <c r="D43" s="1620"/>
      <c r="E43" s="335">
        <v>2021</v>
      </c>
      <c r="F43" s="342"/>
      <c r="G43" s="491"/>
    </row>
    <row r="44" spans="1:8" ht="100.5" customHeight="1" x14ac:dyDescent="0.25">
      <c r="A44" s="494" t="s">
        <v>799</v>
      </c>
      <c r="B44" s="495"/>
      <c r="C44" s="1583" t="s">
        <v>800</v>
      </c>
      <c r="D44" s="1583"/>
      <c r="E44" s="496">
        <v>2021</v>
      </c>
      <c r="F44" s="497"/>
      <c r="G44" s="118"/>
    </row>
    <row r="45" spans="1:8" ht="69.95" customHeight="1" x14ac:dyDescent="0.25">
      <c r="A45" s="283" t="s">
        <v>801</v>
      </c>
      <c r="B45" s="77"/>
      <c r="C45" s="1583" t="s">
        <v>802</v>
      </c>
      <c r="D45" s="1583"/>
      <c r="E45" s="12">
        <v>2021</v>
      </c>
      <c r="F45" s="32"/>
      <c r="G45" s="465"/>
    </row>
    <row r="46" spans="1:8" ht="81.75" customHeight="1" x14ac:dyDescent="0.25">
      <c r="A46" s="498" t="s">
        <v>803</v>
      </c>
      <c r="B46" s="189"/>
      <c r="C46" s="1620" t="s">
        <v>804</v>
      </c>
      <c r="D46" s="1620"/>
      <c r="E46" s="499">
        <v>2020</v>
      </c>
      <c r="F46" s="189"/>
      <c r="G46" s="500"/>
    </row>
    <row r="47" spans="1:8" ht="69.95" customHeight="1" x14ac:dyDescent="0.25">
      <c r="A47" s="501" t="s">
        <v>805</v>
      </c>
      <c r="B47" s="100"/>
      <c r="C47" s="1621" t="s">
        <v>806</v>
      </c>
      <c r="D47" s="1621"/>
      <c r="E47" s="337">
        <v>2019</v>
      </c>
      <c r="F47" s="340"/>
      <c r="G47" s="16"/>
    </row>
    <row r="48" spans="1:8" ht="69.95" customHeight="1" x14ac:dyDescent="0.25">
      <c r="A48" s="498" t="s">
        <v>807</v>
      </c>
      <c r="B48" s="189"/>
      <c r="C48" s="1620" t="s">
        <v>808</v>
      </c>
      <c r="D48" s="1620"/>
      <c r="E48" s="499">
        <v>2019</v>
      </c>
      <c r="F48" s="189"/>
      <c r="G48" s="500"/>
    </row>
    <row r="49" spans="1:7" ht="82.5" customHeight="1" x14ac:dyDescent="0.25">
      <c r="A49" s="488" t="s">
        <v>809</v>
      </c>
      <c r="B49" s="32"/>
      <c r="C49" s="1583" t="s">
        <v>810</v>
      </c>
      <c r="D49" s="1583"/>
      <c r="E49" s="12">
        <v>2009</v>
      </c>
      <c r="F49" s="32"/>
      <c r="G49" s="489"/>
    </row>
    <row r="50" spans="1:7" ht="64.5" customHeight="1" x14ac:dyDescent="0.25">
      <c r="A50" s="502" t="s">
        <v>811</v>
      </c>
      <c r="B50" s="503"/>
      <c r="C50" s="1633" t="s">
        <v>812</v>
      </c>
      <c r="D50" s="1633"/>
      <c r="E50" s="504">
        <v>1957</v>
      </c>
      <c r="F50" s="503"/>
      <c r="G50" s="505"/>
    </row>
    <row r="51" spans="1:7" x14ac:dyDescent="0.25"/>
    <row r="52" spans="1:7" x14ac:dyDescent="0.25"/>
  </sheetData>
  <sheetProtection algorithmName="SHA-512" hashValue="+swhD/q/bMc9g+8sC2s/n4YdPCQlNGTKY9bqO6qPQu5EqcLl8yB/ecFFErzHGC0kZKavwjv9+MT6Pkh31XlCXw==" saltValue="OyV540Lqk39Av/WasGIKhw==" spinCount="100000" sheet="1" objects="1" scenarios="1"/>
  <mergeCells count="18">
    <mergeCell ref="C50:D50"/>
    <mergeCell ref="C42:D42"/>
    <mergeCell ref="C43:D43"/>
    <mergeCell ref="C44:D44"/>
    <mergeCell ref="C45:D45"/>
    <mergeCell ref="G33:H33"/>
    <mergeCell ref="C46:D46"/>
    <mergeCell ref="C47:D47"/>
    <mergeCell ref="C48:D48"/>
    <mergeCell ref="C49:D49"/>
    <mergeCell ref="C40:D40"/>
    <mergeCell ref="C41:D41"/>
    <mergeCell ref="C34:D34"/>
    <mergeCell ref="C35:D35"/>
    <mergeCell ref="C36:D36"/>
    <mergeCell ref="C37:D37"/>
    <mergeCell ref="C38:D38"/>
    <mergeCell ref="C33:D33"/>
  </mergeCells>
  <phoneticPr fontId="3" type="noConversion"/>
  <hyperlinks>
    <hyperlink ref="A17" r:id="rId1" xr:uid="{1AC09D36-C946-4A86-AFCA-E54F1AC2E579}"/>
    <hyperlink ref="A14" r:id="rId2" xr:uid="{2FD242EA-585E-4BBE-8D02-2B11A13E6261}"/>
    <hyperlink ref="A11" r:id="rId3" xr:uid="{38EEB1B5-F113-422F-9FDA-35370A8E8691}"/>
    <hyperlink ref="A3" r:id="rId4" xr:uid="{AC48664E-E742-4E3A-A765-52DC1F2EB041}"/>
    <hyperlink ref="A7" r:id="rId5" xr:uid="{8A7802CC-831D-411C-AF74-C6C8D60AF0C6}"/>
    <hyperlink ref="A9" r:id="rId6" xr:uid="{47C21022-E972-446A-A4DD-F233B24B5F28}"/>
    <hyperlink ref="A12" r:id="rId7" xr:uid="{32C165E0-8633-476B-8DFA-06660669E263}"/>
    <hyperlink ref="A13" r:id="rId8" xr:uid="{DCBFD873-8188-465C-9F57-4EF5CC3ADB0F}"/>
    <hyperlink ref="A16" r:id="rId9" xr:uid="{626B28E3-353F-4F9C-AC7D-1E5D0B90CF76}"/>
    <hyperlink ref="A34" r:id="rId10" display="ESG-udvalg" xr:uid="{9EF87B37-2448-4349-9CFF-84E59DA9E6CA}"/>
    <hyperlink ref="A35" r:id="rId11" xr:uid="{58F79B82-D048-4603-A489-3C59EC0E41CF}"/>
    <hyperlink ref="A36" r:id="rId12" xr:uid="{D1AA3E1B-DD9F-488D-BD7A-42820E09CC38}"/>
    <hyperlink ref="A37" r:id="rId13" xr:uid="{6852756E-AA7B-4261-9142-C9DB20FA3F7E}"/>
    <hyperlink ref="A38" r:id="rId14" xr:uid="{CFD82472-4EF3-4FD4-A94D-DE36AD71DDA8}"/>
  </hyperlinks>
  <pageMargins left="0.7" right="0.7" top="0.75" bottom="0.75" header="0.3" footer="0.3"/>
  <pageSetup paperSize="9" orientation="portrait" r:id="rId15"/>
  <drawing r:id="rId1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70B42-4C32-4F0D-96AC-CDBC3962B23C}">
  <sheetPr>
    <tabColor theme="6" tint="0.39997558519241921"/>
  </sheetPr>
  <dimension ref="A1:D49"/>
  <sheetViews>
    <sheetView showGridLines="0" topLeftCell="A35" zoomScaleNormal="100" workbookViewId="0">
      <selection sqref="A1:D1"/>
    </sheetView>
  </sheetViews>
  <sheetFormatPr defaultColWidth="0" defaultRowHeight="15" zeroHeight="1" x14ac:dyDescent="0.25"/>
  <cols>
    <col min="1" max="1" width="44.28515625" customWidth="1"/>
    <col min="2" max="2" width="10.140625" style="65" customWidth="1"/>
    <col min="3" max="3" width="40.5703125" customWidth="1"/>
    <col min="4" max="4" width="41" customWidth="1"/>
    <col min="5" max="16384" width="9.140625" hidden="1"/>
  </cols>
  <sheetData>
    <row r="1" spans="1:4" ht="37.5" customHeight="1" x14ac:dyDescent="0.25">
      <c r="A1" s="1636" t="s">
        <v>19</v>
      </c>
      <c r="B1" s="1636"/>
      <c r="C1" s="1636"/>
      <c r="D1" s="1636"/>
    </row>
    <row r="2" spans="1:4" ht="18" customHeight="1" x14ac:dyDescent="0.25">
      <c r="A2" s="191" t="s">
        <v>813</v>
      </c>
      <c r="B2" s="191"/>
      <c r="C2" s="191" t="s">
        <v>725</v>
      </c>
      <c r="D2" s="191"/>
    </row>
    <row r="3" spans="1:4" ht="18.75" customHeight="1" x14ac:dyDescent="0.25">
      <c r="A3" s="1637" t="s">
        <v>814</v>
      </c>
      <c r="B3" s="1637"/>
      <c r="C3" s="1637"/>
      <c r="D3" s="1637"/>
    </row>
    <row r="4" spans="1:4" ht="20.25" customHeight="1" x14ac:dyDescent="0.25">
      <c r="A4" s="26" t="s">
        <v>815</v>
      </c>
      <c r="B4" s="74"/>
      <c r="C4" s="1643" t="s">
        <v>816</v>
      </c>
      <c r="D4" s="1643"/>
    </row>
    <row r="5" spans="1:4" ht="17.25" customHeight="1" x14ac:dyDescent="0.25">
      <c r="A5" s="26" t="s">
        <v>817</v>
      </c>
      <c r="B5" s="74"/>
      <c r="C5" s="1643" t="s">
        <v>818</v>
      </c>
      <c r="D5" s="1643"/>
    </row>
    <row r="6" spans="1:4" ht="20.25" customHeight="1" x14ac:dyDescent="0.25">
      <c r="A6" s="1644" t="s">
        <v>819</v>
      </c>
      <c r="B6" s="1644"/>
      <c r="C6" s="1644"/>
      <c r="D6" s="1644"/>
    </row>
    <row r="7" spans="1:4" ht="27.75" customHeight="1" x14ac:dyDescent="0.25">
      <c r="A7" s="26" t="s">
        <v>820</v>
      </c>
      <c r="B7" s="74"/>
      <c r="C7" s="1635" t="s">
        <v>821</v>
      </c>
      <c r="D7" s="1635"/>
    </row>
    <row r="8" spans="1:4" ht="19.5" customHeight="1" x14ac:dyDescent="0.25">
      <c r="A8" s="1644" t="s">
        <v>822</v>
      </c>
      <c r="B8" s="1644"/>
      <c r="C8" s="1644"/>
      <c r="D8" s="1644"/>
    </row>
    <row r="9" spans="1:4" ht="26.25" customHeight="1" x14ac:dyDescent="0.25">
      <c r="A9" s="32" t="s">
        <v>823</v>
      </c>
      <c r="B9" s="74"/>
      <c r="C9" s="1635" t="s">
        <v>824</v>
      </c>
      <c r="D9" s="1635"/>
    </row>
    <row r="10" spans="1:4" ht="27" customHeight="1" x14ac:dyDescent="0.25">
      <c r="A10" s="32" t="s">
        <v>825</v>
      </c>
      <c r="B10" s="24"/>
      <c r="C10" s="1635" t="s">
        <v>826</v>
      </c>
      <c r="D10" s="1635"/>
    </row>
    <row r="11" spans="1:4" ht="20.25" customHeight="1" x14ac:dyDescent="0.25">
      <c r="A11" s="1644" t="s">
        <v>827</v>
      </c>
      <c r="B11" s="1644"/>
      <c r="C11" s="1644"/>
      <c r="D11" s="1644"/>
    </row>
    <row r="12" spans="1:4" ht="27" customHeight="1" x14ac:dyDescent="0.25">
      <c r="A12" s="26" t="s">
        <v>828</v>
      </c>
      <c r="B12" s="74"/>
      <c r="C12" s="1643" t="s">
        <v>829</v>
      </c>
      <c r="D12" s="1643"/>
    </row>
    <row r="13" spans="1:4" ht="20.25" customHeight="1" x14ac:dyDescent="0.25">
      <c r="A13" s="1645" t="s">
        <v>548</v>
      </c>
      <c r="B13" s="1645"/>
      <c r="C13" s="1645"/>
      <c r="D13" s="1645"/>
    </row>
    <row r="14" spans="1:4" ht="32.25" customHeight="1" x14ac:dyDescent="0.25">
      <c r="A14" s="77" t="s">
        <v>830</v>
      </c>
      <c r="B14" s="74"/>
      <c r="C14" s="1635" t="s">
        <v>831</v>
      </c>
      <c r="D14" s="1635"/>
    </row>
    <row r="15" spans="1:4" ht="51.75" customHeight="1" x14ac:dyDescent="0.25">
      <c r="A15" s="77" t="s">
        <v>832</v>
      </c>
      <c r="B15" s="74"/>
      <c r="C15" s="1635" t="s">
        <v>833</v>
      </c>
      <c r="D15" s="1635"/>
    </row>
    <row r="16" spans="1:4" ht="55.5" customHeight="1" x14ac:dyDescent="0.25">
      <c r="A16" s="77" t="s">
        <v>834</v>
      </c>
      <c r="B16" s="74"/>
      <c r="C16" s="1635" t="s">
        <v>835</v>
      </c>
      <c r="D16" s="1635"/>
    </row>
    <row r="17" spans="1:4" ht="48.75" customHeight="1" x14ac:dyDescent="0.25">
      <c r="A17" s="78" t="s">
        <v>836</v>
      </c>
      <c r="B17" s="74"/>
      <c r="C17" s="1635" t="s">
        <v>837</v>
      </c>
      <c r="D17" s="1635"/>
    </row>
    <row r="18" spans="1:4" ht="18.75" customHeight="1" x14ac:dyDescent="0.25">
      <c r="A18" s="26"/>
      <c r="B18" s="24"/>
      <c r="C18" s="26"/>
      <c r="D18" s="26"/>
    </row>
    <row r="19" spans="1:4" ht="20.25" customHeight="1" x14ac:dyDescent="0.25">
      <c r="A19" s="192" t="s">
        <v>838</v>
      </c>
      <c r="B19" s="193" t="s">
        <v>22</v>
      </c>
      <c r="C19" s="192" t="s">
        <v>839</v>
      </c>
      <c r="D19" s="192" t="s">
        <v>840</v>
      </c>
    </row>
    <row r="20" spans="1:4" ht="25.5" customHeight="1" x14ac:dyDescent="0.25">
      <c r="A20" s="1638" t="s">
        <v>841</v>
      </c>
      <c r="B20" s="1638"/>
      <c r="C20" s="1638"/>
      <c r="D20" s="1638"/>
    </row>
    <row r="21" spans="1:4" ht="101.25" customHeight="1" x14ac:dyDescent="0.25">
      <c r="A21" s="35" t="s">
        <v>842</v>
      </c>
      <c r="B21" s="66" t="s">
        <v>69</v>
      </c>
      <c r="C21" s="36" t="s">
        <v>843</v>
      </c>
      <c r="D21" s="37" t="s">
        <v>844</v>
      </c>
    </row>
    <row r="22" spans="1:4" ht="85.5" customHeight="1" x14ac:dyDescent="0.25">
      <c r="A22" s="38" t="s">
        <v>845</v>
      </c>
      <c r="B22" s="67" t="s">
        <v>69</v>
      </c>
      <c r="C22" s="39" t="s">
        <v>846</v>
      </c>
      <c r="D22" s="40" t="s">
        <v>847</v>
      </c>
    </row>
    <row r="23" spans="1:4" ht="205.5" customHeight="1" x14ac:dyDescent="0.25">
      <c r="A23" s="55" t="s">
        <v>848</v>
      </c>
      <c r="B23" s="66" t="s">
        <v>69</v>
      </c>
      <c r="C23" s="54" t="s">
        <v>849</v>
      </c>
      <c r="D23" s="76" t="s">
        <v>850</v>
      </c>
    </row>
    <row r="24" spans="1:4" ht="83.25" customHeight="1" x14ac:dyDescent="0.25">
      <c r="A24" s="56" t="s">
        <v>851</v>
      </c>
      <c r="B24" s="68" t="s">
        <v>490</v>
      </c>
      <c r="C24" s="42" t="s">
        <v>852</v>
      </c>
      <c r="D24" s="61" t="s">
        <v>853</v>
      </c>
    </row>
    <row r="25" spans="1:4" ht="80.25" customHeight="1" x14ac:dyDescent="0.25">
      <c r="A25" s="58" t="s">
        <v>854</v>
      </c>
      <c r="B25" s="69" t="s">
        <v>41</v>
      </c>
      <c r="C25" s="43" t="s">
        <v>855</v>
      </c>
      <c r="D25" s="226" t="s">
        <v>856</v>
      </c>
    </row>
    <row r="26" spans="1:4" ht="87" customHeight="1" x14ac:dyDescent="0.25">
      <c r="A26" s="56" t="s">
        <v>57</v>
      </c>
      <c r="B26" s="70" t="s">
        <v>664</v>
      </c>
      <c r="C26" s="45" t="s">
        <v>857</v>
      </c>
      <c r="D26" s="46" t="s">
        <v>858</v>
      </c>
    </row>
    <row r="27" spans="1:4" ht="86.25" customHeight="1" x14ac:dyDescent="0.25">
      <c r="A27" s="57" t="s">
        <v>447</v>
      </c>
      <c r="B27" s="71" t="s">
        <v>650</v>
      </c>
      <c r="C27" s="47" t="s">
        <v>859</v>
      </c>
      <c r="D27" s="227" t="s">
        <v>860</v>
      </c>
    </row>
    <row r="28" spans="1:4" x14ac:dyDescent="0.25">
      <c r="A28" s="48"/>
      <c r="B28" s="70"/>
      <c r="C28" s="44"/>
      <c r="D28" s="46"/>
    </row>
    <row r="29" spans="1:4" ht="24" customHeight="1" x14ac:dyDescent="0.25">
      <c r="A29" s="1639" t="s">
        <v>861</v>
      </c>
      <c r="B29" s="1640"/>
      <c r="C29" s="1640"/>
      <c r="D29" s="1640"/>
    </row>
    <row r="30" spans="1:4" ht="76.5" customHeight="1" x14ac:dyDescent="0.25">
      <c r="A30" s="57" t="s">
        <v>862</v>
      </c>
      <c r="B30" s="73" t="s">
        <v>80</v>
      </c>
      <c r="C30" s="47" t="s">
        <v>863</v>
      </c>
      <c r="D30" s="62" t="s">
        <v>864</v>
      </c>
    </row>
    <row r="31" spans="1:4" ht="145.5" customHeight="1" x14ac:dyDescent="0.25">
      <c r="A31" s="51" t="s">
        <v>75</v>
      </c>
      <c r="B31" s="70" t="s">
        <v>76</v>
      </c>
      <c r="C31" s="52" t="s">
        <v>865</v>
      </c>
      <c r="D31" s="63" t="s">
        <v>866</v>
      </c>
    </row>
    <row r="32" spans="1:4" ht="79.5" customHeight="1" x14ac:dyDescent="0.25">
      <c r="A32" s="57" t="s">
        <v>87</v>
      </c>
      <c r="B32" s="73" t="s">
        <v>41</v>
      </c>
      <c r="C32" s="47" t="s">
        <v>867</v>
      </c>
      <c r="D32" s="62" t="s">
        <v>868</v>
      </c>
    </row>
    <row r="33" spans="1:4" ht="76.5" customHeight="1" x14ac:dyDescent="0.25">
      <c r="A33" s="60" t="s">
        <v>94</v>
      </c>
      <c r="B33" s="74" t="s">
        <v>41</v>
      </c>
      <c r="C33" s="52" t="s">
        <v>869</v>
      </c>
      <c r="D33" s="52" t="s">
        <v>870</v>
      </c>
    </row>
    <row r="34" spans="1:4" ht="79.5" customHeight="1" x14ac:dyDescent="0.25">
      <c r="A34" s="59" t="s">
        <v>100</v>
      </c>
      <c r="B34" s="72" t="s">
        <v>101</v>
      </c>
      <c r="C34" s="47" t="s">
        <v>871</v>
      </c>
      <c r="D34" s="47" t="s">
        <v>872</v>
      </c>
    </row>
    <row r="35" spans="1:4" ht="79.5" customHeight="1" x14ac:dyDescent="0.25">
      <c r="A35" s="32" t="s">
        <v>873</v>
      </c>
      <c r="B35" s="12" t="s">
        <v>103</v>
      </c>
      <c r="C35" s="77" t="s">
        <v>874</v>
      </c>
      <c r="D35" s="77" t="s">
        <v>875</v>
      </c>
    </row>
    <row r="36" spans="1:4" ht="69" customHeight="1" x14ac:dyDescent="0.25">
      <c r="A36" s="59" t="s">
        <v>109</v>
      </c>
      <c r="B36" s="346" t="s">
        <v>41</v>
      </c>
      <c r="C36" s="368" t="s">
        <v>876</v>
      </c>
      <c r="D36" s="226" t="s">
        <v>877</v>
      </c>
    </row>
    <row r="37" spans="1:4" ht="69.75" customHeight="1" x14ac:dyDescent="0.25">
      <c r="A37" s="371" t="s">
        <v>878</v>
      </c>
      <c r="B37" s="372" t="s">
        <v>111</v>
      </c>
      <c r="C37" s="373" t="s">
        <v>879</v>
      </c>
      <c r="D37" s="374" t="s">
        <v>880</v>
      </c>
    </row>
    <row r="38" spans="1:4" ht="93" customHeight="1" x14ac:dyDescent="0.25">
      <c r="A38" s="369" t="s">
        <v>86</v>
      </c>
      <c r="B38" s="69" t="s">
        <v>41</v>
      </c>
      <c r="C38" s="43" t="s">
        <v>881</v>
      </c>
      <c r="D38" s="370" t="s">
        <v>882</v>
      </c>
    </row>
    <row r="39" spans="1:4" x14ac:dyDescent="0.25">
      <c r="A39" s="51"/>
      <c r="B39" s="68"/>
      <c r="C39" s="41"/>
      <c r="D39" s="50"/>
    </row>
    <row r="40" spans="1:4" ht="21.75" customHeight="1" x14ac:dyDescent="0.25">
      <c r="A40" s="1641" t="s">
        <v>883</v>
      </c>
      <c r="B40" s="1642"/>
      <c r="C40" s="1642"/>
      <c r="D40" s="1642"/>
    </row>
    <row r="41" spans="1:4" ht="77.25" customHeight="1" x14ac:dyDescent="0.25">
      <c r="A41" s="40" t="s">
        <v>123</v>
      </c>
      <c r="B41" s="67" t="s">
        <v>101</v>
      </c>
      <c r="C41" s="39" t="s">
        <v>884</v>
      </c>
      <c r="D41" s="40" t="s">
        <v>885</v>
      </c>
    </row>
    <row r="42" spans="1:4" ht="72.75" customHeight="1" x14ac:dyDescent="0.25">
      <c r="A42" s="64" t="s">
        <v>119</v>
      </c>
      <c r="B42" s="66" t="s">
        <v>41</v>
      </c>
      <c r="C42" s="36" t="s">
        <v>886</v>
      </c>
      <c r="D42" s="64" t="s">
        <v>887</v>
      </c>
    </row>
    <row r="43" spans="1:4" ht="67.5" customHeight="1" x14ac:dyDescent="0.25">
      <c r="A43" s="51" t="s">
        <v>114</v>
      </c>
      <c r="B43" s="74" t="s">
        <v>41</v>
      </c>
      <c r="C43" s="52" t="s">
        <v>888</v>
      </c>
      <c r="D43" s="63" t="s">
        <v>889</v>
      </c>
    </row>
    <row r="44" spans="1:4" ht="63.75" customHeight="1" x14ac:dyDescent="0.25">
      <c r="A44" s="49" t="s">
        <v>113</v>
      </c>
      <c r="B44" s="66" t="s">
        <v>41</v>
      </c>
      <c r="C44" s="47" t="s">
        <v>890</v>
      </c>
      <c r="D44" s="37" t="s">
        <v>891</v>
      </c>
    </row>
    <row r="45" spans="1:4" ht="84" customHeight="1" x14ac:dyDescent="0.25">
      <c r="A45" s="51" t="s">
        <v>122</v>
      </c>
      <c r="B45" s="74" t="s">
        <v>41</v>
      </c>
      <c r="C45" s="52" t="s">
        <v>892</v>
      </c>
      <c r="D45" s="63" t="s">
        <v>893</v>
      </c>
    </row>
    <row r="46" spans="1:4" x14ac:dyDescent="0.25">
      <c r="A46" s="53"/>
      <c r="B46" s="75"/>
      <c r="C46" s="43"/>
      <c r="D46" s="53"/>
    </row>
    <row r="47" spans="1:4" x14ac:dyDescent="0.25">
      <c r="A47" s="52"/>
      <c r="B47" s="74"/>
      <c r="C47" s="52"/>
      <c r="D47" s="60"/>
    </row>
    <row r="48" spans="1:4" hidden="1" x14ac:dyDescent="0.25">
      <c r="A48" s="32"/>
      <c r="B48" s="12"/>
      <c r="C48" s="32"/>
      <c r="D48" s="32"/>
    </row>
    <row r="49" spans="1:4" hidden="1" x14ac:dyDescent="0.25">
      <c r="A49" s="32"/>
      <c r="B49" s="12"/>
      <c r="C49" s="32"/>
      <c r="D49" s="32"/>
    </row>
  </sheetData>
  <sheetProtection algorithmName="SHA-512" hashValue="N0xDfpVjjl8ii8DADQddp76W5w4v90dcJlG7F5vtZS3CNl8DxHo7hvNVGc23WaWCiJZPY1eqvl+XINJtJZ70hg==" saltValue="zcNZCzdw//+FzS6QRjkNzQ==" spinCount="100000" sheet="1" objects="1" scenarios="1"/>
  <mergeCells count="19">
    <mergeCell ref="A40:D40"/>
    <mergeCell ref="C4:D4"/>
    <mergeCell ref="C5:D5"/>
    <mergeCell ref="C17:D17"/>
    <mergeCell ref="C12:D12"/>
    <mergeCell ref="C14:D14"/>
    <mergeCell ref="C9:D9"/>
    <mergeCell ref="C7:D7"/>
    <mergeCell ref="A6:D6"/>
    <mergeCell ref="A8:D8"/>
    <mergeCell ref="C10:D10"/>
    <mergeCell ref="A11:D11"/>
    <mergeCell ref="A13:D13"/>
    <mergeCell ref="C16:D16"/>
    <mergeCell ref="C15:D15"/>
    <mergeCell ref="A1:D1"/>
    <mergeCell ref="A3:D3"/>
    <mergeCell ref="A20:D20"/>
    <mergeCell ref="A29:D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1E15C-1B04-4A6E-AAFE-5D0224B8DAED}">
  <sheetPr>
    <tabColor rgb="FF002060"/>
  </sheetPr>
  <dimension ref="A1:H65"/>
  <sheetViews>
    <sheetView showGridLines="0" zoomScaleNormal="100" workbookViewId="0">
      <selection activeCell="A9" sqref="A9"/>
    </sheetView>
  </sheetViews>
  <sheetFormatPr defaultColWidth="3.42578125" defaultRowHeight="15" zeroHeight="1" x14ac:dyDescent="0.25"/>
  <cols>
    <col min="1" max="1" width="52.7109375" bestFit="1" customWidth="1"/>
    <col min="2" max="2" width="15.5703125" bestFit="1" customWidth="1"/>
    <col min="3" max="6" width="12.140625" customWidth="1"/>
    <col min="7" max="8" width="12.140625" style="65" customWidth="1"/>
    <col min="9" max="9" width="3.42578125" customWidth="1"/>
    <col min="16382" max="16382" width="3.42578125" customWidth="1"/>
  </cols>
  <sheetData>
    <row r="1" spans="1:8" ht="31.5" customHeight="1" x14ac:dyDescent="0.25">
      <c r="A1" s="439" t="s">
        <v>21</v>
      </c>
      <c r="B1" s="439"/>
      <c r="C1" s="1414">
        <v>2023</v>
      </c>
      <c r="D1" s="1414"/>
      <c r="E1" s="1414"/>
      <c r="F1" s="1414">
        <v>2022</v>
      </c>
      <c r="G1" s="1414"/>
      <c r="H1" s="1414"/>
    </row>
    <row r="2" spans="1:8" ht="24" x14ac:dyDescent="0.25">
      <c r="A2" s="688"/>
      <c r="B2" s="426" t="s">
        <v>22</v>
      </c>
      <c r="C2" s="426" t="s">
        <v>23</v>
      </c>
      <c r="D2" s="437" t="s">
        <v>24</v>
      </c>
      <c r="E2" s="437" t="s">
        <v>25</v>
      </c>
      <c r="F2" s="426" t="s">
        <v>23</v>
      </c>
      <c r="G2" s="437" t="s">
        <v>24</v>
      </c>
      <c r="H2" s="673" t="s">
        <v>25</v>
      </c>
    </row>
    <row r="3" spans="1:8" x14ac:dyDescent="0.25">
      <c r="A3" s="689" t="s">
        <v>26</v>
      </c>
      <c r="B3" s="429"/>
      <c r="C3" s="429"/>
      <c r="D3" s="429"/>
      <c r="E3" s="429"/>
      <c r="F3" s="429"/>
      <c r="G3" s="438"/>
      <c r="H3" s="684"/>
    </row>
    <row r="4" spans="1:8" x14ac:dyDescent="0.25">
      <c r="A4" s="690" t="s">
        <v>27</v>
      </c>
      <c r="B4" s="440"/>
      <c r="C4" s="440"/>
      <c r="D4" s="440"/>
      <c r="E4" s="440"/>
      <c r="F4" s="440"/>
      <c r="G4" s="206"/>
      <c r="H4" s="675"/>
    </row>
    <row r="5" spans="1:8" x14ac:dyDescent="0.25">
      <c r="A5" s="691" t="s">
        <v>28</v>
      </c>
      <c r="B5" s="427" t="s">
        <v>29</v>
      </c>
      <c r="C5" s="1184">
        <f>'Housing loans'!C3</f>
        <v>12.9</v>
      </c>
      <c r="D5" s="1184">
        <f>'Housing loans'!C17</f>
        <v>4.0593259835467599</v>
      </c>
      <c r="E5" s="565"/>
      <c r="F5" s="1353">
        <f>'Housing loans'!D3</f>
        <v>13.4</v>
      </c>
      <c r="G5" s="1353">
        <f>'Housing loans'!D17</f>
        <v>3.51795170435489</v>
      </c>
      <c r="H5" s="685"/>
    </row>
    <row r="6" spans="1:8" x14ac:dyDescent="0.25">
      <c r="A6" s="692" t="s">
        <v>30</v>
      </c>
      <c r="B6" s="440" t="s">
        <v>31</v>
      </c>
      <c r="C6" s="440">
        <f>'Housing loans'!C5</f>
        <v>27.1</v>
      </c>
      <c r="D6" s="440"/>
      <c r="E6" s="440"/>
      <c r="F6" s="448">
        <f>'Housing loans'!D5</f>
        <v>34.9</v>
      </c>
      <c r="G6" s="206"/>
      <c r="H6" s="675"/>
    </row>
    <row r="7" spans="1:8" x14ac:dyDescent="0.25">
      <c r="A7" s="691" t="s">
        <v>32</v>
      </c>
      <c r="B7" s="427" t="s">
        <v>31</v>
      </c>
      <c r="C7" s="427">
        <f>'Housing loans'!C8</f>
        <v>21.1</v>
      </c>
      <c r="D7" s="427"/>
      <c r="E7" s="427"/>
      <c r="F7" s="468">
        <f>'Housing loans'!D8</f>
        <v>9.6</v>
      </c>
      <c r="G7" s="200"/>
      <c r="H7" s="685"/>
    </row>
    <row r="8" spans="1:8" x14ac:dyDescent="0.25">
      <c r="A8" s="692" t="s">
        <v>33</v>
      </c>
      <c r="B8" s="440" t="s">
        <v>31</v>
      </c>
      <c r="C8" s="440">
        <f>'Housing loans'!C11</f>
        <v>12.8</v>
      </c>
      <c r="D8" s="440"/>
      <c r="E8" s="440"/>
      <c r="F8" s="448">
        <f>'Housing loans'!D11</f>
        <v>12.8</v>
      </c>
      <c r="G8" s="206"/>
      <c r="H8" s="675"/>
    </row>
    <row r="9" spans="1:8" x14ac:dyDescent="0.25">
      <c r="A9" s="691" t="s">
        <v>34</v>
      </c>
      <c r="B9" s="427" t="s">
        <v>31</v>
      </c>
      <c r="C9" s="470">
        <f>'Housing loans'!C13</f>
        <v>1354</v>
      </c>
      <c r="D9" s="433"/>
      <c r="E9" s="427"/>
      <c r="F9" s="1391">
        <f>'Housing loans'!D13</f>
        <v>1331</v>
      </c>
      <c r="G9" s="200"/>
      <c r="H9" s="685"/>
    </row>
    <row r="10" spans="1:8" x14ac:dyDescent="0.25">
      <c r="A10" s="692" t="s">
        <v>35</v>
      </c>
      <c r="B10" s="440" t="s">
        <v>31</v>
      </c>
      <c r="C10" s="440">
        <f>'Housing loans'!C14</f>
        <v>25.5</v>
      </c>
      <c r="D10" s="440"/>
      <c r="E10" s="440"/>
      <c r="F10" s="448">
        <f>'Housing loans'!D14</f>
        <v>25.6</v>
      </c>
      <c r="G10" s="206"/>
      <c r="H10" s="675"/>
    </row>
    <row r="11" spans="1:8" ht="24" x14ac:dyDescent="0.25">
      <c r="A11" s="693" t="s">
        <v>36</v>
      </c>
      <c r="B11" s="428" t="s">
        <v>31</v>
      </c>
      <c r="C11" s="1389">
        <f>'Housing loans'!C15</f>
        <v>96</v>
      </c>
      <c r="D11" s="1389">
        <f>'Housing loans'!C18</f>
        <v>56.5</v>
      </c>
      <c r="E11" s="428"/>
      <c r="F11" s="1390">
        <f>'Housing loans'!D15</f>
        <v>81</v>
      </c>
      <c r="G11" s="435">
        <v>58.2</v>
      </c>
      <c r="H11" s="686"/>
    </row>
    <row r="12" spans="1:8" x14ac:dyDescent="0.25">
      <c r="A12" s="690" t="s">
        <v>37</v>
      </c>
      <c r="B12" s="440"/>
      <c r="C12" s="440"/>
      <c r="D12" s="440"/>
      <c r="E12" s="440"/>
      <c r="F12" s="440"/>
      <c r="G12" s="206"/>
      <c r="H12" s="675"/>
    </row>
    <row r="13" spans="1:8" x14ac:dyDescent="0.25">
      <c r="A13" s="691" t="s">
        <v>38</v>
      </c>
      <c r="B13" s="427" t="s">
        <v>31</v>
      </c>
      <c r="C13" s="444">
        <f>'Car loans and leasing'!E3</f>
        <v>47.858390190000001</v>
      </c>
      <c r="D13" s="444">
        <f>'Car loans and leasing'!E11</f>
        <v>902.54724467000005</v>
      </c>
      <c r="E13" s="433">
        <f>'Car loans and leasing'!E5</f>
        <v>6471</v>
      </c>
      <c r="F13" s="444">
        <f>'Car loans and leasing'!F3</f>
        <v>44.8</v>
      </c>
      <c r="G13" s="443">
        <f>'Car loans and leasing'!F11</f>
        <v>855</v>
      </c>
      <c r="H13" s="676">
        <f>'Car loans and leasing'!F5</f>
        <v>6154</v>
      </c>
    </row>
    <row r="14" spans="1:8" x14ac:dyDescent="0.25">
      <c r="A14" s="694" t="s">
        <v>39</v>
      </c>
      <c r="B14" s="448" t="s">
        <v>31</v>
      </c>
      <c r="C14" s="448"/>
      <c r="D14" s="448"/>
      <c r="E14" s="924">
        <f>'Car loans and leasing'!E8</f>
        <v>2870</v>
      </c>
      <c r="F14" s="449"/>
      <c r="G14" s="450"/>
      <c r="H14" s="687">
        <f>'Car loans and leasing'!F8</f>
        <v>2463</v>
      </c>
    </row>
    <row r="15" spans="1:8" ht="24" x14ac:dyDescent="0.25">
      <c r="A15" s="691" t="s">
        <v>40</v>
      </c>
      <c r="B15" s="427" t="s">
        <v>41</v>
      </c>
      <c r="C15" s="427"/>
      <c r="D15" s="427"/>
      <c r="E15" s="427">
        <f>'Car loans and leasing'!E6</f>
        <v>44</v>
      </c>
      <c r="F15" s="427"/>
      <c r="G15" s="200"/>
      <c r="H15" s="685">
        <f>'Car loans and leasing'!F6</f>
        <v>40</v>
      </c>
    </row>
    <row r="16" spans="1:8" x14ac:dyDescent="0.25">
      <c r="A16" s="695" t="s">
        <v>42</v>
      </c>
      <c r="B16" s="430"/>
      <c r="C16" s="430"/>
      <c r="D16" s="430"/>
      <c r="E16" s="430"/>
      <c r="F16" s="430"/>
      <c r="G16" s="434"/>
      <c r="H16" s="674"/>
    </row>
    <row r="17" spans="1:8" x14ac:dyDescent="0.25">
      <c r="A17" s="692" t="s">
        <v>43</v>
      </c>
      <c r="B17" s="440" t="s">
        <v>29</v>
      </c>
      <c r="C17" s="440">
        <f>'Investments for customers'!E3</f>
        <v>25.2</v>
      </c>
      <c r="D17" s="440">
        <f>'Investments for customers'!E9</f>
        <v>12.8</v>
      </c>
      <c r="E17" s="440"/>
      <c r="F17" s="440">
        <f>'Investments for customers'!F3</f>
        <v>24.7</v>
      </c>
      <c r="G17" s="446">
        <f>'Investments for customers'!F9</f>
        <v>12.69</v>
      </c>
      <c r="H17" s="675"/>
    </row>
    <row r="18" spans="1:8" x14ac:dyDescent="0.25">
      <c r="A18" s="691" t="s">
        <v>44</v>
      </c>
      <c r="B18" s="427" t="s">
        <v>41</v>
      </c>
      <c r="C18" s="427">
        <f>'Investments for customers'!E4</f>
        <v>76.400000000000006</v>
      </c>
      <c r="D18" s="427">
        <f>'Investments for customers'!E10</f>
        <v>91.5</v>
      </c>
      <c r="E18" s="427"/>
      <c r="F18" s="427">
        <f>'Investments for customers'!F4</f>
        <v>75</v>
      </c>
      <c r="G18" s="427">
        <f>'Investments for customers'!F10</f>
        <v>95.2</v>
      </c>
      <c r="H18" s="685"/>
    </row>
    <row r="19" spans="1:8" ht="24" x14ac:dyDescent="0.25">
      <c r="A19" s="692" t="s">
        <v>45</v>
      </c>
      <c r="B19" s="440" t="s">
        <v>29</v>
      </c>
      <c r="C19" s="440">
        <f>'Investments for customers'!E5</f>
        <v>17.2</v>
      </c>
      <c r="D19" s="440">
        <f>'Investments for customers'!E11</f>
        <v>11.7</v>
      </c>
      <c r="E19" s="440"/>
      <c r="F19" s="440">
        <f>'Investments for customers'!F5</f>
        <v>16.3</v>
      </c>
      <c r="G19" s="446">
        <f>'Investments for customers'!F11</f>
        <v>12.08</v>
      </c>
      <c r="H19" s="675"/>
    </row>
    <row r="20" spans="1:8" ht="18" customHeight="1" x14ac:dyDescent="0.25">
      <c r="A20" s="691" t="s">
        <v>46</v>
      </c>
      <c r="B20" s="427" t="s">
        <v>29</v>
      </c>
      <c r="C20" s="427">
        <f>'Investments for customers'!E7</f>
        <v>3.1</v>
      </c>
      <c r="D20" s="427">
        <f>'Investments for customers'!E13</f>
        <v>0.1</v>
      </c>
      <c r="E20" s="427"/>
      <c r="F20" s="427">
        <f>'Investments for customers'!F7</f>
        <v>4.0999999999999996</v>
      </c>
      <c r="G20" s="427">
        <f>'Investments for customers'!F13</f>
        <v>0.2</v>
      </c>
      <c r="H20" s="685"/>
    </row>
    <row r="21" spans="1:8" x14ac:dyDescent="0.25">
      <c r="A21" s="695" t="s">
        <v>47</v>
      </c>
      <c r="B21" s="430"/>
      <c r="C21" s="430"/>
      <c r="D21" s="430"/>
      <c r="E21" s="430"/>
      <c r="F21" s="430"/>
      <c r="G21" s="434"/>
      <c r="H21" s="674"/>
    </row>
    <row r="22" spans="1:8" x14ac:dyDescent="0.25">
      <c r="A22" s="692" t="s">
        <v>48</v>
      </c>
      <c r="B22" s="440" t="s">
        <v>29</v>
      </c>
      <c r="C22" s="566">
        <f>'Investments in own portfolio'!C3</f>
        <v>19.2</v>
      </c>
      <c r="D22" s="440">
        <f>'Investments in own portfolio'!C7</f>
        <v>11.3</v>
      </c>
      <c r="E22" s="566"/>
      <c r="F22" s="206">
        <f>'Investments in own portfolio'!D3</f>
        <v>19.100000000000001</v>
      </c>
      <c r="G22" s="206">
        <f>'Investments in own portfolio'!D7</f>
        <v>9.9</v>
      </c>
      <c r="H22" s="675"/>
    </row>
    <row r="23" spans="1:8" x14ac:dyDescent="0.25">
      <c r="A23" s="691" t="s">
        <v>49</v>
      </c>
      <c r="B23" s="427" t="s">
        <v>31</v>
      </c>
      <c r="C23" s="427">
        <f>'Investments in own portfolio'!C4</f>
        <v>894</v>
      </c>
      <c r="D23" s="427">
        <f>'Investments in own portfolio'!C8</f>
        <v>0</v>
      </c>
      <c r="E23" s="427"/>
      <c r="F23" s="427">
        <f>'Investments in own portfolio'!D4</f>
        <v>694</v>
      </c>
      <c r="G23" s="200">
        <f>'Investments in own portfolio'!D8</f>
        <v>0</v>
      </c>
      <c r="H23" s="685"/>
    </row>
    <row r="24" spans="1:8" x14ac:dyDescent="0.25">
      <c r="A24" s="692" t="s">
        <v>50</v>
      </c>
      <c r="B24" s="440" t="s">
        <v>41</v>
      </c>
      <c r="C24" s="1358">
        <f>'Investments in own portfolio'!C5</f>
        <v>4.65625</v>
      </c>
      <c r="D24" s="1358">
        <f>'Investments in own portfolio'!C9</f>
        <v>0</v>
      </c>
      <c r="E24" s="440"/>
      <c r="F24" s="1358">
        <f>'Investments in own portfolio'!D5</f>
        <v>3.6335078534031418</v>
      </c>
      <c r="G24" s="1359">
        <f>'Investments in own portfolio'!D9</f>
        <v>0</v>
      </c>
      <c r="H24" s="675"/>
    </row>
    <row r="25" spans="1:8" ht="31.5" customHeight="1" x14ac:dyDescent="0.25">
      <c r="A25" s="439" t="s">
        <v>51</v>
      </c>
      <c r="B25" s="439"/>
      <c r="C25" s="1414">
        <v>2023</v>
      </c>
      <c r="D25" s="1414"/>
      <c r="E25" s="1414"/>
      <c r="F25" s="1414">
        <v>2022</v>
      </c>
      <c r="G25" s="1414"/>
      <c r="H25" s="1414"/>
    </row>
    <row r="26" spans="1:8" ht="24" x14ac:dyDescent="0.25">
      <c r="A26" s="688"/>
      <c r="B26" s="426" t="s">
        <v>22</v>
      </c>
      <c r="C26" s="426" t="s">
        <v>23</v>
      </c>
      <c r="D26" s="437" t="s">
        <v>24</v>
      </c>
      <c r="E26" s="437" t="s">
        <v>25</v>
      </c>
      <c r="F26" s="426" t="s">
        <v>23</v>
      </c>
      <c r="G26" s="437" t="s">
        <v>24</v>
      </c>
      <c r="H26" s="673" t="s">
        <v>25</v>
      </c>
    </row>
    <row r="27" spans="1:8" x14ac:dyDescent="0.25">
      <c r="A27" s="695" t="s">
        <v>52</v>
      </c>
      <c r="B27" s="430"/>
      <c r="C27" s="430"/>
      <c r="D27" s="430"/>
      <c r="E27" s="430"/>
      <c r="F27" s="430"/>
      <c r="G27" s="434"/>
      <c r="H27" s="674"/>
    </row>
    <row r="28" spans="1:8" x14ac:dyDescent="0.25">
      <c r="A28" s="692" t="s">
        <v>53</v>
      </c>
      <c r="B28" s="440" t="s">
        <v>41</v>
      </c>
      <c r="C28" s="930">
        <f>'Environmental accounts'!E7</f>
        <v>1</v>
      </c>
      <c r="D28" s="1221" t="str">
        <f>'Environmental accounts'!V7</f>
        <v xml:space="preserve">
0%</v>
      </c>
      <c r="E28" s="1220">
        <f>'Environmental accounts'!N7</f>
        <v>1</v>
      </c>
      <c r="F28" s="440">
        <v>100</v>
      </c>
      <c r="G28" s="206">
        <v>0</v>
      </c>
      <c r="H28" s="675">
        <v>100</v>
      </c>
    </row>
    <row r="29" spans="1:8" x14ac:dyDescent="0.25">
      <c r="A29" s="691" t="s">
        <v>54</v>
      </c>
      <c r="B29" s="427" t="s">
        <v>55</v>
      </c>
      <c r="C29" s="1297">
        <f>'Environmental accounts'!E16</f>
        <v>2707.8006785411362</v>
      </c>
      <c r="D29" s="1297">
        <f>'Environmental accounts'!V16</f>
        <v>2523.2507750258342</v>
      </c>
      <c r="E29" s="443">
        <f>'Environmental accounts'!N16</f>
        <v>746.98795180722891</v>
      </c>
      <c r="F29" s="443">
        <v>3141.1</v>
      </c>
      <c r="G29" s="443">
        <v>2512.54</v>
      </c>
      <c r="H29" s="676">
        <v>1553</v>
      </c>
    </row>
    <row r="30" spans="1:8" x14ac:dyDescent="0.25">
      <c r="A30" s="692" t="s">
        <v>56</v>
      </c>
      <c r="B30" s="440" t="s">
        <v>55</v>
      </c>
      <c r="C30" s="1298">
        <f>'Environmental accounts'!E18</f>
        <v>4443.596268023749</v>
      </c>
      <c r="D30" s="1298">
        <f>'Environmental accounts'!V18</f>
        <v>5475.0825027500914</v>
      </c>
      <c r="E30" s="1352">
        <f>'Environmental accounts'!N18</f>
        <v>1350.4819277108436</v>
      </c>
      <c r="F30" s="442">
        <v>4387</v>
      </c>
      <c r="G30" s="442">
        <v>8873.81</v>
      </c>
      <c r="H30" s="682">
        <v>1471</v>
      </c>
    </row>
    <row r="31" spans="1:8" x14ac:dyDescent="0.25">
      <c r="A31" s="691" t="s">
        <v>57</v>
      </c>
      <c r="B31" s="427" t="s">
        <v>58</v>
      </c>
      <c r="C31" s="940">
        <f>'Environmental accounts'!E46</f>
        <v>7.9898218829516541</v>
      </c>
      <c r="D31" s="940">
        <f>'Environmental accounts'!V38</f>
        <v>5.4750825027500918</v>
      </c>
      <c r="E31" s="939">
        <f>'Environmental accounts'!N40</f>
        <v>4.6987951807228914</v>
      </c>
      <c r="F31" s="436">
        <v>7.85</v>
      </c>
      <c r="G31" s="436">
        <v>1.7</v>
      </c>
      <c r="H31" s="678">
        <v>0.19</v>
      </c>
    </row>
    <row r="32" spans="1:8" x14ac:dyDescent="0.25">
      <c r="A32" s="692" t="s">
        <v>59</v>
      </c>
      <c r="B32" s="440" t="s">
        <v>41</v>
      </c>
      <c r="C32" s="447">
        <f>'Environmental accounts'!E42</f>
        <v>51.95</v>
      </c>
      <c r="D32" s="471">
        <f>'Environmental accounts'!V34</f>
        <v>30.7</v>
      </c>
      <c r="E32" s="1357">
        <f>'Environmental accounts'!N36</f>
        <v>54.08</v>
      </c>
      <c r="F32" s="447">
        <v>44.02</v>
      </c>
      <c r="G32" s="446">
        <v>23.23</v>
      </c>
      <c r="H32" s="677">
        <v>32.799999999999997</v>
      </c>
    </row>
    <row r="33" spans="1:8" ht="108" x14ac:dyDescent="0.25">
      <c r="A33" s="691" t="s">
        <v>60</v>
      </c>
      <c r="B33" s="427" t="s">
        <v>41</v>
      </c>
      <c r="C33" s="427" t="s">
        <v>61</v>
      </c>
      <c r="D33" s="436" t="s">
        <v>62</v>
      </c>
      <c r="E33" s="436" t="s">
        <v>62</v>
      </c>
      <c r="F33" s="433" t="s">
        <v>63</v>
      </c>
      <c r="G33" s="436" t="s">
        <v>62</v>
      </c>
      <c r="H33" s="678" t="s">
        <v>62</v>
      </c>
    </row>
    <row r="34" spans="1:8" x14ac:dyDescent="0.25">
      <c r="A34" s="692" t="s">
        <v>64</v>
      </c>
      <c r="B34" s="440" t="s">
        <v>41</v>
      </c>
      <c r="C34" s="440">
        <f>'Environmental accounts'!E33</f>
        <v>66</v>
      </c>
      <c r="D34" s="440"/>
      <c r="E34" s="675">
        <f>'Environmental accounts'!N31</f>
        <v>68</v>
      </c>
      <c r="F34" s="440">
        <f>'Environmental accounts'!F33</f>
        <v>75</v>
      </c>
      <c r="G34" s="440"/>
      <c r="H34" s="675">
        <f>'Environmental accounts'!O31</f>
        <v>76</v>
      </c>
    </row>
    <row r="35" spans="1:8" ht="18" x14ac:dyDescent="0.25">
      <c r="A35" s="691" t="s">
        <v>65</v>
      </c>
      <c r="B35" s="427" t="s">
        <v>66</v>
      </c>
      <c r="C35" s="433">
        <f>'Climate accounts'!E344</f>
        <v>29.97</v>
      </c>
      <c r="D35" s="433">
        <f>'Climate accounts'!AB344</f>
        <v>122.594706</v>
      </c>
      <c r="E35" s="936">
        <f>'Climate accounts'!S344</f>
        <v>20.93</v>
      </c>
      <c r="F35" s="466">
        <f>'Climate accounts'!G344</f>
        <v>36.36</v>
      </c>
      <c r="G35" s="466">
        <f>'Climate accounts'!AD344</f>
        <v>57.53</v>
      </c>
      <c r="H35" s="679">
        <f>'Climate accounts'!U344</f>
        <v>37.1</v>
      </c>
    </row>
    <row r="36" spans="1:8" ht="18" x14ac:dyDescent="0.25">
      <c r="A36" s="692" t="s">
        <v>67</v>
      </c>
      <c r="B36" s="440" t="s">
        <v>66</v>
      </c>
      <c r="C36" s="441">
        <f>'Climate accounts'!E347</f>
        <v>236.62</v>
      </c>
      <c r="D36" s="441">
        <f>'Climate accounts'!AB347</f>
        <v>321.73479883200002</v>
      </c>
      <c r="E36" s="937">
        <f>'Climate accounts'!S347</f>
        <v>4.83</v>
      </c>
      <c r="F36" s="467">
        <f>'Climate accounts'!G347</f>
        <v>191.81</v>
      </c>
      <c r="G36" s="467">
        <v>397.08</v>
      </c>
      <c r="H36" s="680">
        <v>4.5</v>
      </c>
    </row>
    <row r="37" spans="1:8" ht="18" x14ac:dyDescent="0.25">
      <c r="A37" s="691" t="s">
        <v>68</v>
      </c>
      <c r="B37" s="427" t="s">
        <v>69</v>
      </c>
      <c r="C37" s="433">
        <f>'Climate accounts'!F347</f>
        <v>611.41000000000008</v>
      </c>
      <c r="D37" s="433">
        <f>'Climate accounts'!AC347</f>
        <v>321.73479883200002</v>
      </c>
      <c r="E37" s="936">
        <f>'Climate accounts'!T347</f>
        <v>12.16</v>
      </c>
      <c r="F37" s="466">
        <f>'Climate accounts'!H347</f>
        <v>691.08</v>
      </c>
      <c r="G37" s="466">
        <v>397.08</v>
      </c>
      <c r="H37" s="679">
        <v>24.35</v>
      </c>
    </row>
    <row r="38" spans="1:8" ht="18" x14ac:dyDescent="0.25">
      <c r="A38" s="692" t="s">
        <v>70</v>
      </c>
      <c r="B38" s="440" t="s">
        <v>66</v>
      </c>
      <c r="C38" s="441">
        <f>'Climate accounts'!E350</f>
        <v>7775.55</v>
      </c>
      <c r="D38" s="441">
        <f>'Climate accounts'!AB350</f>
        <v>4636.1343779999997</v>
      </c>
      <c r="E38" s="937">
        <f>'Climate accounts'!S350</f>
        <v>129.91513</v>
      </c>
      <c r="F38" s="1361">
        <f>'Climate accounts'!G350</f>
        <v>9428.85</v>
      </c>
      <c r="G38" s="467">
        <v>6645.1</v>
      </c>
      <c r="H38" s="680">
        <v>121.85</v>
      </c>
    </row>
    <row r="39" spans="1:8" ht="18" x14ac:dyDescent="0.25">
      <c r="A39" s="691" t="s">
        <v>71</v>
      </c>
      <c r="B39" s="427" t="s">
        <v>72</v>
      </c>
      <c r="C39" s="1367">
        <f>'Climate accounts'!C45+'Climate accounts'!C48+'Climate accounts'!C52+'Climate accounts'!C56+'Climate accounts'!C58+'Climate accounts'!C60</f>
        <v>224193.87500442087</v>
      </c>
      <c r="D39" s="1367">
        <f>'Climate accounts'!C46+'Climate accounts'!C50+'Climate accounts'!C54+'Climate accounts'!C57+'Climate accounts'!C59+'Climate accounts'!C61</f>
        <v>250777.59399315773</v>
      </c>
      <c r="E39" s="1383">
        <f>'Climate accounts'!C49+'Climate accounts'!C53</f>
        <v>57293.908536131123</v>
      </c>
      <c r="F39" s="466">
        <v>231379.58952616551</v>
      </c>
      <c r="G39" s="466">
        <v>253920.82064585772</v>
      </c>
      <c r="H39" s="679">
        <v>74323.695158118047</v>
      </c>
    </row>
    <row r="40" spans="1:8" ht="30" x14ac:dyDescent="0.25">
      <c r="A40" s="692" t="s">
        <v>73</v>
      </c>
      <c r="B40" s="440" t="s">
        <v>74</v>
      </c>
      <c r="C40" s="1384">
        <f>('Climate accounts'!C45+'Climate accounts'!C48+'Climate accounts'!C52+'Climate accounts'!C56+'Climate accounts'!C58+'Climate accounts'!C60)/('Climate accounts'!B45+'Climate accounts'!B48+'Climate accounts'!B52+'Climate accounts'!B56+'Climate accounts'!B58+'Climate accounts'!B60)</f>
        <v>3.2944370546484012</v>
      </c>
      <c r="D40" s="1384">
        <f>('Climate accounts'!C46+'Climate accounts'!C50+'Climate accounts'!C54+'Climate accounts'!C57+'Climate accounts'!C59+'Climate accounts'!C61)/('Climate accounts'!B46+'Climate accounts'!B50+'Climate accounts'!B54+'Climate accounts'!B57+'Climate accounts'!B59+'Climate accounts'!B61)</f>
        <v>5.9509784109522244</v>
      </c>
      <c r="E40" s="1385">
        <f>('Climate accounts'!C49+'Climate accounts'!C53)/('Climate accounts'!B49+'Climate accounts'!B53)</f>
        <v>7.1630212289296429</v>
      </c>
      <c r="F40" s="506">
        <v>3.6154724641829534</v>
      </c>
      <c r="G40" s="506">
        <v>6.6863552849473251</v>
      </c>
      <c r="H40" s="681">
        <v>10.100466934244899</v>
      </c>
    </row>
    <row r="41" spans="1:8" x14ac:dyDescent="0.25">
      <c r="A41" s="695" t="s">
        <v>13</v>
      </c>
      <c r="B41" s="430"/>
      <c r="C41" s="430"/>
      <c r="D41" s="430"/>
      <c r="E41" s="569"/>
      <c r="F41" s="430"/>
      <c r="G41" s="434"/>
      <c r="H41" s="674"/>
    </row>
    <row r="42" spans="1:8" x14ac:dyDescent="0.25">
      <c r="A42" s="692" t="s">
        <v>75</v>
      </c>
      <c r="B42" s="440" t="s">
        <v>76</v>
      </c>
      <c r="C42" s="441">
        <f>Employees!D8</f>
        <v>1179</v>
      </c>
      <c r="D42" s="941">
        <f>Employees!D31</f>
        <v>599.98</v>
      </c>
      <c r="E42" s="942">
        <f>Employees!D22</f>
        <v>83</v>
      </c>
      <c r="F42" s="442">
        <v>1139</v>
      </c>
      <c r="G42" s="442">
        <v>629.36</v>
      </c>
      <c r="H42" s="682">
        <v>90.26</v>
      </c>
    </row>
    <row r="43" spans="1:8" x14ac:dyDescent="0.25">
      <c r="A43" s="691" t="s">
        <v>77</v>
      </c>
      <c r="B43" s="427" t="s">
        <v>78</v>
      </c>
      <c r="C43" s="1394">
        <f>Customers!D8</f>
        <v>1</v>
      </c>
      <c r="D43" s="1394">
        <f>Customers!D23</f>
        <v>15</v>
      </c>
      <c r="E43" s="568"/>
      <c r="F43" s="433">
        <v>1</v>
      </c>
      <c r="G43" s="443">
        <v>11</v>
      </c>
      <c r="H43" s="676"/>
    </row>
    <row r="44" spans="1:8" x14ac:dyDescent="0.25">
      <c r="A44" s="692" t="s">
        <v>79</v>
      </c>
      <c r="B44" s="440" t="s">
        <v>80</v>
      </c>
      <c r="C44" s="1395">
        <v>676</v>
      </c>
      <c r="D44" s="1395">
        <f>Customers!D24</f>
        <v>327</v>
      </c>
      <c r="E44" s="567"/>
      <c r="F44" s="441">
        <v>7385</v>
      </c>
      <c r="G44" s="442">
        <v>6393</v>
      </c>
      <c r="H44" s="682"/>
    </row>
    <row r="45" spans="1:8" x14ac:dyDescent="0.25">
      <c r="A45" s="691" t="s">
        <v>81</v>
      </c>
      <c r="B45" s="427" t="s">
        <v>82</v>
      </c>
      <c r="C45" s="427">
        <f>Customers!D10</f>
        <v>76</v>
      </c>
      <c r="D45" s="427">
        <f>Customers!D25</f>
        <v>43</v>
      </c>
      <c r="E45" s="568"/>
      <c r="F45" s="433">
        <v>76</v>
      </c>
      <c r="G45" s="443">
        <v>41</v>
      </c>
      <c r="H45" s="676"/>
    </row>
    <row r="46" spans="1:8" x14ac:dyDescent="0.25">
      <c r="A46" s="692" t="s">
        <v>83</v>
      </c>
      <c r="B46" s="440" t="s">
        <v>84</v>
      </c>
      <c r="C46" s="441">
        <f>Customers!D15</f>
        <v>6677</v>
      </c>
      <c r="D46" s="440">
        <f>Customers!D30</f>
        <v>-1504</v>
      </c>
      <c r="E46" s="440"/>
      <c r="F46" s="441">
        <v>6588</v>
      </c>
      <c r="G46" s="516" t="s">
        <v>85</v>
      </c>
      <c r="H46" s="682"/>
    </row>
    <row r="47" spans="1:8" x14ac:dyDescent="0.25">
      <c r="A47" s="691" t="s">
        <v>86</v>
      </c>
      <c r="B47" s="427" t="s">
        <v>41</v>
      </c>
      <c r="C47" s="427">
        <f>Customers!D16</f>
        <v>94</v>
      </c>
      <c r="D47" s="427">
        <f>Customers!D31</f>
        <v>97</v>
      </c>
      <c r="E47" s="427"/>
      <c r="F47" s="433">
        <f>Customers!E16</f>
        <v>93</v>
      </c>
      <c r="G47" s="443">
        <f>Customers!E31</f>
        <v>96</v>
      </c>
      <c r="H47" s="676"/>
    </row>
    <row r="48" spans="1:8" x14ac:dyDescent="0.25">
      <c r="A48" s="692" t="s">
        <v>87</v>
      </c>
      <c r="B48" s="440" t="s">
        <v>88</v>
      </c>
      <c r="C48" s="440" t="s">
        <v>89</v>
      </c>
      <c r="D48" s="440" t="s">
        <v>90</v>
      </c>
      <c r="E48" s="440" t="s">
        <v>91</v>
      </c>
      <c r="F48" s="441" t="s">
        <v>89</v>
      </c>
      <c r="G48" s="442" t="s">
        <v>92</v>
      </c>
      <c r="H48" s="682" t="s">
        <v>93</v>
      </c>
    </row>
    <row r="49" spans="1:8" x14ac:dyDescent="0.25">
      <c r="A49" s="691" t="s">
        <v>94</v>
      </c>
      <c r="B49" s="427" t="s">
        <v>88</v>
      </c>
      <c r="C49" s="427" t="s">
        <v>95</v>
      </c>
      <c r="D49" s="427" t="s">
        <v>96</v>
      </c>
      <c r="E49" s="427" t="s">
        <v>97</v>
      </c>
      <c r="F49" s="433" t="s">
        <v>98</v>
      </c>
      <c r="G49" s="443" t="s">
        <v>99</v>
      </c>
      <c r="H49" s="676" t="s">
        <v>97</v>
      </c>
    </row>
    <row r="50" spans="1:8" x14ac:dyDescent="0.25">
      <c r="A50" s="692" t="s">
        <v>100</v>
      </c>
      <c r="B50" s="440" t="s">
        <v>101</v>
      </c>
      <c r="C50" s="447">
        <f>Employees!D16</f>
        <v>1.1299999999999999</v>
      </c>
      <c r="D50" s="447">
        <f>Employees!D39</f>
        <v>1.1938218292320699</v>
      </c>
      <c r="E50" s="440"/>
      <c r="F50" s="471">
        <v>1.1000000000000001</v>
      </c>
      <c r="G50" s="469">
        <v>1.2</v>
      </c>
      <c r="H50" s="682"/>
    </row>
    <row r="51" spans="1:8" x14ac:dyDescent="0.25">
      <c r="A51" s="691" t="s">
        <v>102</v>
      </c>
      <c r="B51" s="427" t="s">
        <v>103</v>
      </c>
      <c r="C51" s="427">
        <f>Employees!D17</f>
        <v>11</v>
      </c>
      <c r="D51" s="444">
        <f>Employees!D40</f>
        <v>13.35</v>
      </c>
      <c r="E51" s="427"/>
      <c r="F51" s="433">
        <v>10</v>
      </c>
      <c r="G51" s="443">
        <v>13</v>
      </c>
      <c r="H51" s="676"/>
    </row>
    <row r="52" spans="1:8" ht="24.75" x14ac:dyDescent="0.25">
      <c r="A52" s="692" t="s">
        <v>104</v>
      </c>
      <c r="B52" s="440" t="s">
        <v>105</v>
      </c>
      <c r="C52" s="440" t="str">
        <f>Employees!D18</f>
        <v>79/81*</v>
      </c>
      <c r="D52" s="941" t="s">
        <v>106</v>
      </c>
      <c r="E52" s="1213" t="str">
        <f>Employees!D29</f>
        <v>(not prepared in 2023)</v>
      </c>
      <c r="F52" s="441" t="s">
        <v>107</v>
      </c>
      <c r="G52" s="442" t="s">
        <v>106</v>
      </c>
      <c r="H52" s="682" t="s">
        <v>108</v>
      </c>
    </row>
    <row r="53" spans="1:8" x14ac:dyDescent="0.25">
      <c r="A53" s="691" t="s">
        <v>109</v>
      </c>
      <c r="B53" s="427" t="s">
        <v>41</v>
      </c>
      <c r="C53" s="427">
        <f>Employees!D19</f>
        <v>16.600000000000001</v>
      </c>
      <c r="D53" s="1388">
        <f>Employees!D42</f>
        <v>11.047034901163372</v>
      </c>
      <c r="E53" s="427"/>
      <c r="F53" s="470">
        <v>15.8</v>
      </c>
      <c r="G53" s="445">
        <v>13.7</v>
      </c>
      <c r="H53" s="676"/>
    </row>
    <row r="54" spans="1:8" x14ac:dyDescent="0.25">
      <c r="A54" s="692" t="s">
        <v>110</v>
      </c>
      <c r="B54" s="440" t="s">
        <v>111</v>
      </c>
      <c r="C54" s="447">
        <f>Employees!D20</f>
        <v>8.48</v>
      </c>
      <c r="D54" s="447">
        <f>Employees!D43</f>
        <v>8.12593753125104</v>
      </c>
      <c r="E54" s="440"/>
      <c r="F54" s="471">
        <v>9.1999999999999993</v>
      </c>
      <c r="G54" s="469">
        <v>7.2</v>
      </c>
      <c r="H54" s="682"/>
    </row>
    <row r="55" spans="1:8" x14ac:dyDescent="0.25">
      <c r="A55" s="695" t="s">
        <v>112</v>
      </c>
      <c r="B55" s="430"/>
      <c r="C55" s="430"/>
      <c r="D55" s="430"/>
      <c r="E55" s="430"/>
      <c r="F55" s="472"/>
      <c r="G55" s="473"/>
      <c r="H55" s="683"/>
    </row>
    <row r="56" spans="1:8" ht="15" customHeight="1" x14ac:dyDescent="0.25">
      <c r="A56" s="692" t="s">
        <v>113</v>
      </c>
      <c r="B56" s="440" t="s">
        <v>41</v>
      </c>
      <c r="C56" s="440">
        <f>'Governance and management'!D3</f>
        <v>92.8</v>
      </c>
      <c r="D56" s="440">
        <f>'Governance and management'!D16</f>
        <v>97.5</v>
      </c>
      <c r="E56" s="440"/>
      <c r="F56" s="471">
        <v>95</v>
      </c>
      <c r="G56" s="469">
        <v>98.6</v>
      </c>
      <c r="H56" s="682"/>
    </row>
    <row r="57" spans="1:8" x14ac:dyDescent="0.25">
      <c r="A57" s="691" t="s">
        <v>114</v>
      </c>
      <c r="B57" s="427" t="s">
        <v>88</v>
      </c>
      <c r="C57" s="427" t="s">
        <v>98</v>
      </c>
      <c r="D57" s="427" t="s">
        <v>115</v>
      </c>
      <c r="E57" s="427" t="s">
        <v>116</v>
      </c>
      <c r="F57" s="433" t="s">
        <v>91</v>
      </c>
      <c r="G57" s="443" t="s">
        <v>117</v>
      </c>
      <c r="H57" s="676" t="s">
        <v>118</v>
      </c>
    </row>
    <row r="58" spans="1:8" x14ac:dyDescent="0.25">
      <c r="A58" s="692" t="s">
        <v>119</v>
      </c>
      <c r="B58" s="440" t="s">
        <v>88</v>
      </c>
      <c r="C58" s="440" t="s">
        <v>120</v>
      </c>
      <c r="D58" s="440" t="s">
        <v>118</v>
      </c>
      <c r="E58" s="440"/>
      <c r="F58" s="441" t="s">
        <v>121</v>
      </c>
      <c r="G58" s="442" t="s">
        <v>118</v>
      </c>
      <c r="H58" s="682"/>
    </row>
    <row r="59" spans="1:8" x14ac:dyDescent="0.25">
      <c r="A59" s="691" t="s">
        <v>122</v>
      </c>
      <c r="B59" s="427" t="s">
        <v>41</v>
      </c>
      <c r="C59" s="1388">
        <f>'Governance and management'!D8</f>
        <v>87</v>
      </c>
      <c r="D59" s="1388">
        <f>'Governance and management'!D21</f>
        <v>95</v>
      </c>
      <c r="E59" s="427"/>
      <c r="F59" s="470">
        <v>92.5</v>
      </c>
      <c r="G59" s="443">
        <v>100</v>
      </c>
      <c r="H59" s="676"/>
    </row>
    <row r="60" spans="1:8" x14ac:dyDescent="0.25">
      <c r="A60" s="692" t="s">
        <v>123</v>
      </c>
      <c r="B60" s="440" t="s">
        <v>101</v>
      </c>
      <c r="C60" s="447">
        <f>'Governance and management'!D9</f>
        <v>6.7</v>
      </c>
      <c r="D60" s="447">
        <f>'Governance and management'!D22</f>
        <v>7.6142311751414828</v>
      </c>
      <c r="E60" s="440"/>
      <c r="F60" s="471">
        <v>6.3</v>
      </c>
      <c r="G60" s="469">
        <v>7.4</v>
      </c>
      <c r="H60" s="682"/>
    </row>
    <row r="61" spans="1:8" ht="24" x14ac:dyDescent="0.25">
      <c r="A61" s="691" t="s">
        <v>124</v>
      </c>
      <c r="B61" s="427" t="s">
        <v>41</v>
      </c>
      <c r="C61" s="444">
        <f>'Governance and management'!D10</f>
        <v>95.5</v>
      </c>
      <c r="D61" s="427">
        <f>'Governance and management'!D23</f>
        <v>98</v>
      </c>
      <c r="E61" s="427"/>
      <c r="F61" s="433">
        <v>95</v>
      </c>
      <c r="G61" s="433">
        <v>78.930000000000007</v>
      </c>
      <c r="H61" s="676"/>
    </row>
    <row r="62" spans="1:8" x14ac:dyDescent="0.25">
      <c r="A62" s="925" t="s">
        <v>125</v>
      </c>
      <c r="B62" s="926" t="s">
        <v>41</v>
      </c>
      <c r="C62" s="926">
        <f>'Governance and management'!D11</f>
        <v>100</v>
      </c>
      <c r="D62" s="1354">
        <f>'Governance and management'!D21</f>
        <v>95</v>
      </c>
      <c r="E62" s="926"/>
      <c r="F62" s="1356">
        <f>'Governance and management'!E11</f>
        <v>0</v>
      </c>
      <c r="G62" s="1355">
        <f>'Governance and management'!E21</f>
        <v>100</v>
      </c>
      <c r="H62" s="943"/>
    </row>
    <row r="63" spans="1:8" x14ac:dyDescent="0.25"/>
    <row r="64" spans="1:8" ht="96.75" customHeight="1" x14ac:dyDescent="0.25">
      <c r="A64" s="1415" t="s">
        <v>126</v>
      </c>
      <c r="B64" s="1415"/>
      <c r="C64" s="1415"/>
      <c r="D64" s="1415"/>
      <c r="E64" s="1415"/>
      <c r="F64" s="1415"/>
      <c r="G64" s="1415"/>
      <c r="H64" s="1415"/>
    </row>
    <row r="65" x14ac:dyDescent="0.25"/>
  </sheetData>
  <sheetProtection algorithmName="SHA-512" hashValue="Wz1tubGXPC+ZLY1xZG84w9SZHbgbyPGd1FZZpDNYc9ql2V434vrMCgXlk2oyqXTLPkQGR3hnn3z4s97E+yA+RQ==" saltValue="gHlVfMvxQpJeUzuNqxmu5w==" spinCount="100000" sheet="1" objects="1" scenarios="1"/>
  <mergeCells count="5">
    <mergeCell ref="C25:E25"/>
    <mergeCell ref="F25:H25"/>
    <mergeCell ref="C1:E1"/>
    <mergeCell ref="F1:H1"/>
    <mergeCell ref="A64:H64"/>
  </mergeCells>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95D64-67AF-4912-9F28-EEC260B06991}">
  <dimension ref="A1:E55"/>
  <sheetViews>
    <sheetView showGridLines="0" zoomScale="115" zoomScaleNormal="115" workbookViewId="0">
      <selection activeCell="C2" sqref="C2"/>
    </sheetView>
  </sheetViews>
  <sheetFormatPr defaultColWidth="9.140625" defaultRowHeight="15" x14ac:dyDescent="0.25"/>
  <cols>
    <col min="1" max="1" width="49" bestFit="1" customWidth="1"/>
    <col min="2" max="2" width="16.7109375" bestFit="1" customWidth="1"/>
    <col min="3" max="4" width="12.7109375" customWidth="1"/>
    <col min="5" max="5" width="13.5703125" customWidth="1"/>
    <col min="6" max="6" width="9.140625" customWidth="1"/>
  </cols>
  <sheetData>
    <row r="1" spans="1:5" x14ac:dyDescent="0.25">
      <c r="A1" s="261" t="s">
        <v>127</v>
      </c>
      <c r="B1" s="261"/>
      <c r="C1" s="261"/>
      <c r="D1" s="261"/>
      <c r="E1" s="261"/>
    </row>
    <row r="2" spans="1:5" x14ac:dyDescent="0.25">
      <c r="A2" s="241"/>
      <c r="B2" s="242" t="s">
        <v>128</v>
      </c>
      <c r="C2" s="237" t="s">
        <v>129</v>
      </c>
      <c r="D2" s="237" t="s">
        <v>130</v>
      </c>
      <c r="E2" s="398" t="s">
        <v>25</v>
      </c>
    </row>
    <row r="3" spans="1:5" x14ac:dyDescent="0.25">
      <c r="A3" s="243" t="s">
        <v>131</v>
      </c>
      <c r="B3" s="244"/>
      <c r="C3" s="245"/>
      <c r="D3" s="245"/>
      <c r="E3" s="246"/>
    </row>
    <row r="4" spans="1:5" x14ac:dyDescent="0.25">
      <c r="A4" s="262" t="s">
        <v>132</v>
      </c>
      <c r="B4" s="239"/>
      <c r="C4" s="186"/>
      <c r="D4" s="186"/>
      <c r="E4" s="263"/>
    </row>
    <row r="5" spans="1:5" x14ac:dyDescent="0.25">
      <c r="A5" s="249" t="s">
        <v>133</v>
      </c>
      <c r="B5" s="250" t="s">
        <v>134</v>
      </c>
      <c r="C5" s="264"/>
      <c r="D5" s="264"/>
      <c r="E5" s="265"/>
    </row>
    <row r="6" spans="1:5" x14ac:dyDescent="0.25">
      <c r="A6" s="247" t="s">
        <v>135</v>
      </c>
      <c r="B6" s="239" t="s">
        <v>134</v>
      </c>
      <c r="C6" s="186"/>
      <c r="D6" s="186"/>
      <c r="E6" s="263"/>
    </row>
    <row r="7" spans="1:5" x14ac:dyDescent="0.25">
      <c r="A7" s="249" t="s">
        <v>136</v>
      </c>
      <c r="B7" s="250" t="s">
        <v>134</v>
      </c>
      <c r="C7" s="264"/>
      <c r="D7" s="264"/>
      <c r="E7" s="265"/>
    </row>
    <row r="8" spans="1:5" x14ac:dyDescent="0.25">
      <c r="A8" s="247" t="s">
        <v>137</v>
      </c>
      <c r="B8" s="239" t="s">
        <v>134</v>
      </c>
      <c r="C8" s="186"/>
      <c r="D8" s="186"/>
      <c r="E8" s="263"/>
    </row>
    <row r="9" spans="1:5" x14ac:dyDescent="0.25">
      <c r="A9" s="249" t="s">
        <v>138</v>
      </c>
      <c r="B9" s="250" t="s">
        <v>134</v>
      </c>
      <c r="C9" s="264"/>
      <c r="D9" s="264"/>
      <c r="E9" s="265"/>
    </row>
    <row r="10" spans="1:5" x14ac:dyDescent="0.25">
      <c r="A10" s="247" t="s">
        <v>139</v>
      </c>
      <c r="B10" s="239" t="s">
        <v>134</v>
      </c>
      <c r="C10" s="186"/>
      <c r="D10" s="186"/>
      <c r="E10" s="263"/>
    </row>
    <row r="11" spans="1:5" ht="24" x14ac:dyDescent="0.25">
      <c r="A11" s="249" t="s">
        <v>140</v>
      </c>
      <c r="B11" s="250" t="s">
        <v>134</v>
      </c>
      <c r="C11" s="264"/>
      <c r="D11" s="264"/>
      <c r="E11" s="265"/>
    </row>
    <row r="12" spans="1:5" x14ac:dyDescent="0.25">
      <c r="A12" s="262" t="s">
        <v>141</v>
      </c>
      <c r="B12" s="239"/>
      <c r="C12" s="186"/>
      <c r="D12" s="186"/>
      <c r="E12" s="263"/>
    </row>
    <row r="13" spans="1:5" x14ac:dyDescent="0.25">
      <c r="A13" s="249" t="s">
        <v>142</v>
      </c>
      <c r="B13" s="250" t="s">
        <v>134</v>
      </c>
      <c r="C13" s="264"/>
      <c r="D13" s="264"/>
      <c r="E13" s="265"/>
    </row>
    <row r="14" spans="1:5" x14ac:dyDescent="0.25">
      <c r="A14" s="247" t="s">
        <v>143</v>
      </c>
      <c r="B14" s="239" t="s">
        <v>134</v>
      </c>
      <c r="C14" s="186"/>
      <c r="D14" s="186"/>
      <c r="E14" s="263"/>
    </row>
    <row r="15" spans="1:5" x14ac:dyDescent="0.25">
      <c r="A15" s="243" t="s">
        <v>144</v>
      </c>
      <c r="B15" s="252"/>
      <c r="C15" s="253"/>
      <c r="D15" s="253"/>
      <c r="E15" s="254"/>
    </row>
    <row r="16" spans="1:5" x14ac:dyDescent="0.25">
      <c r="A16" s="247" t="s">
        <v>145</v>
      </c>
      <c r="B16" s="239" t="s">
        <v>146</v>
      </c>
      <c r="C16" s="225"/>
      <c r="D16" s="225"/>
      <c r="E16" s="248"/>
    </row>
    <row r="17" spans="1:5" x14ac:dyDescent="0.25">
      <c r="A17" s="249" t="s">
        <v>147</v>
      </c>
      <c r="B17" s="250" t="s">
        <v>41</v>
      </c>
      <c r="C17" s="224"/>
      <c r="D17" s="224"/>
      <c r="E17" s="251"/>
    </row>
    <row r="18" spans="1:5" x14ac:dyDescent="0.25">
      <c r="A18" s="247" t="s">
        <v>148</v>
      </c>
      <c r="B18" s="239" t="s">
        <v>146</v>
      </c>
      <c r="C18" s="225"/>
      <c r="D18" s="225"/>
      <c r="E18" s="248"/>
    </row>
    <row r="19" spans="1:5" ht="18" customHeight="1" x14ac:dyDescent="0.25">
      <c r="A19" s="247" t="s">
        <v>149</v>
      </c>
      <c r="B19" s="239" t="s">
        <v>146</v>
      </c>
      <c r="C19" s="225"/>
      <c r="D19" s="225"/>
      <c r="E19" s="248"/>
    </row>
    <row r="20" spans="1:5" x14ac:dyDescent="0.25">
      <c r="A20" s="243" t="s">
        <v>150</v>
      </c>
      <c r="B20" s="252"/>
      <c r="C20" s="253"/>
      <c r="D20" s="253"/>
      <c r="E20" s="254"/>
    </row>
    <row r="21" spans="1:5" x14ac:dyDescent="0.25">
      <c r="A21" s="249" t="s">
        <v>151</v>
      </c>
      <c r="B21" s="250" t="s">
        <v>134</v>
      </c>
      <c r="C21" s="224"/>
      <c r="D21" s="224"/>
      <c r="E21" s="251"/>
    </row>
    <row r="22" spans="1:5" x14ac:dyDescent="0.25">
      <c r="A22" s="247"/>
      <c r="B22" s="239"/>
      <c r="C22" s="225"/>
      <c r="D22" s="225"/>
      <c r="E22" s="248"/>
    </row>
    <row r="23" spans="1:5" x14ac:dyDescent="0.25">
      <c r="A23" s="243" t="s">
        <v>152</v>
      </c>
      <c r="B23" s="252"/>
      <c r="C23" s="253"/>
      <c r="D23" s="253"/>
      <c r="E23" s="254"/>
    </row>
    <row r="24" spans="1:5" x14ac:dyDescent="0.25">
      <c r="A24" s="247" t="s">
        <v>153</v>
      </c>
      <c r="B24" s="239" t="s">
        <v>154</v>
      </c>
      <c r="C24" s="225"/>
      <c r="D24" s="225"/>
      <c r="E24" s="248"/>
    </row>
    <row r="25" spans="1:5" x14ac:dyDescent="0.25">
      <c r="A25" s="249" t="s">
        <v>155</v>
      </c>
      <c r="B25" s="250" t="s">
        <v>154</v>
      </c>
      <c r="C25" s="224"/>
      <c r="D25" s="224"/>
      <c r="E25" s="251"/>
    </row>
    <row r="26" spans="1:5" x14ac:dyDescent="0.25">
      <c r="A26" s="247" t="s">
        <v>156</v>
      </c>
      <c r="B26" s="239" t="s">
        <v>41</v>
      </c>
      <c r="C26" s="225"/>
      <c r="D26" s="225"/>
      <c r="E26" s="248"/>
    </row>
    <row r="27" spans="1:5" x14ac:dyDescent="0.25">
      <c r="A27" s="249" t="s">
        <v>157</v>
      </c>
      <c r="B27" s="250" t="s">
        <v>154</v>
      </c>
      <c r="C27" s="224"/>
      <c r="D27" s="224"/>
      <c r="E27" s="251"/>
    </row>
    <row r="28" spans="1:5" x14ac:dyDescent="0.25">
      <c r="A28" s="247" t="s">
        <v>158</v>
      </c>
      <c r="B28" s="239" t="s">
        <v>55</v>
      </c>
      <c r="C28" s="225"/>
      <c r="D28" s="225"/>
      <c r="E28" s="248"/>
    </row>
    <row r="29" spans="1:5" x14ac:dyDescent="0.25">
      <c r="A29" s="249" t="s">
        <v>159</v>
      </c>
      <c r="B29" s="250" t="s">
        <v>55</v>
      </c>
      <c r="C29" s="224"/>
      <c r="D29" s="224"/>
      <c r="E29" s="251"/>
    </row>
    <row r="30" spans="1:5" x14ac:dyDescent="0.25">
      <c r="A30" s="247" t="s">
        <v>160</v>
      </c>
      <c r="B30" s="239" t="s">
        <v>58</v>
      </c>
      <c r="C30" s="225"/>
      <c r="D30" s="225"/>
      <c r="E30" s="248"/>
    </row>
    <row r="31" spans="1:5" x14ac:dyDescent="0.25">
      <c r="A31" s="249" t="s">
        <v>161</v>
      </c>
      <c r="B31" s="250" t="s">
        <v>41</v>
      </c>
      <c r="C31" s="224"/>
      <c r="D31" s="224"/>
      <c r="E31" s="251"/>
    </row>
    <row r="32" spans="1:5" x14ac:dyDescent="0.25">
      <c r="A32" s="247" t="s">
        <v>162</v>
      </c>
      <c r="B32" s="239" t="s">
        <v>41</v>
      </c>
      <c r="C32" s="225"/>
      <c r="D32" s="225"/>
      <c r="E32" s="248"/>
    </row>
    <row r="33" spans="1:5" x14ac:dyDescent="0.25">
      <c r="A33" s="249" t="s">
        <v>163</v>
      </c>
      <c r="B33" s="250" t="s">
        <v>164</v>
      </c>
      <c r="C33" s="224"/>
      <c r="D33" s="224"/>
      <c r="E33" s="251"/>
    </row>
    <row r="34" spans="1:5" x14ac:dyDescent="0.25">
      <c r="A34" s="247" t="s">
        <v>165</v>
      </c>
      <c r="B34" s="239" t="s">
        <v>164</v>
      </c>
      <c r="C34" s="225"/>
      <c r="D34" s="225"/>
      <c r="E34" s="248"/>
    </row>
    <row r="35" spans="1:5" x14ac:dyDescent="0.25">
      <c r="A35" s="249" t="s">
        <v>166</v>
      </c>
      <c r="B35" s="250" t="s">
        <v>164</v>
      </c>
      <c r="C35" s="224"/>
      <c r="D35" s="224"/>
      <c r="E35" s="251"/>
    </row>
    <row r="36" spans="1:5" x14ac:dyDescent="0.25">
      <c r="A36" s="243" t="s">
        <v>167</v>
      </c>
      <c r="B36" s="252"/>
      <c r="C36" s="253"/>
      <c r="D36" s="253"/>
      <c r="E36" s="254"/>
    </row>
    <row r="37" spans="1:5" x14ac:dyDescent="0.25">
      <c r="A37" s="247" t="s">
        <v>168</v>
      </c>
      <c r="B37" s="239" t="s">
        <v>169</v>
      </c>
      <c r="C37" s="225"/>
      <c r="D37" s="225"/>
      <c r="E37" s="248"/>
    </row>
    <row r="38" spans="1:5" x14ac:dyDescent="0.25">
      <c r="A38" s="249" t="s">
        <v>168</v>
      </c>
      <c r="B38" s="250" t="s">
        <v>170</v>
      </c>
      <c r="C38" s="224"/>
      <c r="D38" s="224"/>
      <c r="E38" s="251"/>
    </row>
    <row r="39" spans="1:5" x14ac:dyDescent="0.25">
      <c r="A39" s="247" t="s">
        <v>171</v>
      </c>
      <c r="B39" s="239" t="s">
        <v>172</v>
      </c>
      <c r="C39" s="225"/>
      <c r="D39" s="225"/>
      <c r="E39" s="248"/>
    </row>
    <row r="40" spans="1:5" x14ac:dyDescent="0.25">
      <c r="A40" s="249" t="s">
        <v>173</v>
      </c>
      <c r="B40" s="250" t="s">
        <v>174</v>
      </c>
      <c r="C40" s="224"/>
      <c r="D40" s="224"/>
      <c r="E40" s="251"/>
    </row>
    <row r="41" spans="1:5" x14ac:dyDescent="0.25">
      <c r="A41" s="247" t="s">
        <v>175</v>
      </c>
      <c r="B41" s="239" t="s">
        <v>41</v>
      </c>
      <c r="C41" s="225"/>
      <c r="D41" s="225"/>
      <c r="E41" s="248"/>
    </row>
    <row r="42" spans="1:5" x14ac:dyDescent="0.25">
      <c r="A42" s="249" t="s">
        <v>176</v>
      </c>
      <c r="B42" s="250" t="s">
        <v>177</v>
      </c>
      <c r="C42" s="224"/>
      <c r="D42" s="224"/>
      <c r="E42" s="251"/>
    </row>
    <row r="43" spans="1:5" ht="15" customHeight="1" x14ac:dyDescent="0.25">
      <c r="A43" s="247" t="s">
        <v>178</v>
      </c>
      <c r="B43" s="239" t="s">
        <v>177</v>
      </c>
      <c r="C43" s="225"/>
      <c r="D43" s="225"/>
      <c r="E43" s="248"/>
    </row>
    <row r="44" spans="1:5" x14ac:dyDescent="0.25">
      <c r="A44" s="249" t="s">
        <v>179</v>
      </c>
      <c r="B44" s="250" t="s">
        <v>180</v>
      </c>
      <c r="C44" s="224"/>
      <c r="D44" s="224"/>
      <c r="E44" s="251"/>
    </row>
    <row r="45" spans="1:5" x14ac:dyDescent="0.25">
      <c r="A45" s="247" t="s">
        <v>181</v>
      </c>
      <c r="B45" s="239" t="s">
        <v>182</v>
      </c>
      <c r="C45" s="225"/>
      <c r="D45" s="225"/>
      <c r="E45" s="248"/>
    </row>
    <row r="46" spans="1:5" x14ac:dyDescent="0.25">
      <c r="A46" s="249" t="s">
        <v>183</v>
      </c>
      <c r="B46" s="250" t="s">
        <v>105</v>
      </c>
      <c r="C46" s="224"/>
      <c r="D46" s="224"/>
      <c r="E46" s="251"/>
    </row>
    <row r="47" spans="1:5" x14ac:dyDescent="0.25">
      <c r="A47" s="247" t="s">
        <v>184</v>
      </c>
      <c r="B47" s="239" t="s">
        <v>41</v>
      </c>
      <c r="C47" s="225"/>
      <c r="D47" s="225"/>
      <c r="E47" s="248"/>
    </row>
    <row r="48" spans="1:5" x14ac:dyDescent="0.25">
      <c r="A48" s="249" t="s">
        <v>185</v>
      </c>
      <c r="B48" s="250" t="s">
        <v>186</v>
      </c>
      <c r="C48" s="224"/>
      <c r="D48" s="224"/>
      <c r="E48" s="251"/>
    </row>
    <row r="49" spans="1:5" x14ac:dyDescent="0.25">
      <c r="A49" s="243" t="s">
        <v>187</v>
      </c>
      <c r="B49" s="252"/>
      <c r="C49" s="253"/>
      <c r="D49" s="253"/>
      <c r="E49" s="254"/>
    </row>
    <row r="50" spans="1:5" x14ac:dyDescent="0.25">
      <c r="A50" s="247" t="s">
        <v>188</v>
      </c>
      <c r="B50" s="239" t="s">
        <v>41</v>
      </c>
      <c r="C50" s="225"/>
      <c r="D50" s="225"/>
      <c r="E50" s="248"/>
    </row>
    <row r="51" spans="1:5" x14ac:dyDescent="0.25">
      <c r="A51" s="249" t="s">
        <v>189</v>
      </c>
      <c r="B51" s="250" t="s">
        <v>177</v>
      </c>
      <c r="C51" s="224"/>
      <c r="D51" s="224"/>
      <c r="E51" s="251"/>
    </row>
    <row r="52" spans="1:5" ht="15" customHeight="1" x14ac:dyDescent="0.25">
      <c r="A52" s="247" t="s">
        <v>190</v>
      </c>
      <c r="B52" s="239" t="s">
        <v>177</v>
      </c>
      <c r="C52" s="225"/>
      <c r="D52" s="225"/>
      <c r="E52" s="248"/>
    </row>
    <row r="53" spans="1:5" x14ac:dyDescent="0.25">
      <c r="A53" s="249" t="s">
        <v>191</v>
      </c>
      <c r="B53" s="250" t="s">
        <v>41</v>
      </c>
      <c r="C53" s="224"/>
      <c r="D53" s="224"/>
      <c r="E53" s="251"/>
    </row>
    <row r="54" spans="1:5" x14ac:dyDescent="0.25">
      <c r="A54" s="247" t="s">
        <v>192</v>
      </c>
      <c r="B54" s="239" t="s">
        <v>180</v>
      </c>
      <c r="C54" s="225"/>
      <c r="D54" s="225"/>
      <c r="E54" s="248"/>
    </row>
    <row r="55" spans="1:5" ht="24" x14ac:dyDescent="0.25">
      <c r="A55" s="255" t="s">
        <v>193</v>
      </c>
      <c r="B55" s="256" t="s">
        <v>41</v>
      </c>
      <c r="C55" s="257"/>
      <c r="D55" s="257"/>
      <c r="E55" s="258"/>
    </row>
  </sheetData>
  <pageMargins left="0.7" right="0.7" top="0.75" bottom="0.75" header="0.3" footer="0.3"/>
  <pageSetup paperSize="9" orientation="portrait" horizontalDpi="200" verticalDpi="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337E2-758D-422E-ACE0-F1FDEB6B8BC8}">
  <sheetPr>
    <tabColor rgb="FF3C6E87"/>
  </sheetPr>
  <dimension ref="A1:AA48"/>
  <sheetViews>
    <sheetView showGridLines="0" topLeftCell="A43" zoomScale="85" zoomScaleNormal="85" workbookViewId="0">
      <selection activeCell="A4" sqref="A4:O4"/>
    </sheetView>
  </sheetViews>
  <sheetFormatPr defaultColWidth="0" defaultRowHeight="15" x14ac:dyDescent="0.25"/>
  <cols>
    <col min="1" max="15" width="9.140625" customWidth="1"/>
    <col min="16" max="17" width="9.140625" hidden="1" customWidth="1"/>
    <col min="18" max="18" width="14" hidden="1" customWidth="1"/>
    <col min="19" max="19" width="11" hidden="1" customWidth="1"/>
    <col min="20" max="20" width="10" hidden="1" customWidth="1"/>
    <col min="21" max="21" width="11" hidden="1" customWidth="1"/>
    <col min="22" max="22" width="14.28515625" hidden="1" customWidth="1"/>
    <col min="23" max="24" width="10" hidden="1" customWidth="1"/>
    <col min="25" max="27" width="11" hidden="1" customWidth="1"/>
    <col min="28" max="16384" width="9.140625" hidden="1"/>
  </cols>
  <sheetData>
    <row r="1" spans="1:15" ht="35.25" customHeight="1" x14ac:dyDescent="0.25">
      <c r="A1" s="1417" t="s">
        <v>194</v>
      </c>
      <c r="B1" s="1417"/>
      <c r="C1" s="1417"/>
      <c r="D1" s="1417"/>
      <c r="E1" s="1417"/>
      <c r="F1" s="1417"/>
      <c r="G1" s="1417"/>
      <c r="H1" s="1417"/>
      <c r="I1" s="1417"/>
      <c r="J1" s="1417"/>
      <c r="K1" s="1417"/>
      <c r="L1" s="1417"/>
      <c r="M1" s="1417"/>
      <c r="N1" s="1417"/>
      <c r="O1" s="1417"/>
    </row>
    <row r="2" spans="1:15" ht="279.75" customHeight="1" x14ac:dyDescent="0.25">
      <c r="A2" s="1418" t="s">
        <v>195</v>
      </c>
      <c r="B2" s="1418"/>
      <c r="C2" s="1418"/>
      <c r="D2" s="1418"/>
      <c r="E2" s="1418"/>
      <c r="F2" s="1418"/>
      <c r="G2" s="1418"/>
      <c r="H2" s="1418"/>
      <c r="I2" s="1418"/>
      <c r="J2" s="1418"/>
      <c r="K2" s="1418"/>
      <c r="L2" s="1418"/>
      <c r="M2" s="1418"/>
      <c r="N2" s="1419"/>
      <c r="O2" s="1419"/>
    </row>
    <row r="3" spans="1:15" ht="38.25" customHeight="1" x14ac:dyDescent="0.25">
      <c r="A3" s="1420" t="s">
        <v>196</v>
      </c>
      <c r="B3" s="1420"/>
      <c r="C3" s="1420"/>
      <c r="D3" s="1420"/>
      <c r="E3" s="1420"/>
      <c r="F3" s="1420"/>
      <c r="G3" s="1420"/>
      <c r="H3" s="1420"/>
      <c r="I3" s="1420"/>
      <c r="J3" s="1420"/>
      <c r="K3" s="1420"/>
      <c r="L3" s="1420"/>
      <c r="M3" s="1420"/>
      <c r="N3" s="1420"/>
      <c r="O3" s="1420"/>
    </row>
    <row r="4" spans="1:15" ht="179.25" customHeight="1" x14ac:dyDescent="0.25">
      <c r="A4" s="1421" t="s">
        <v>197</v>
      </c>
      <c r="B4" s="1422"/>
      <c r="C4" s="1422"/>
      <c r="D4" s="1422"/>
      <c r="E4" s="1422"/>
      <c r="F4" s="1422"/>
      <c r="G4" s="1422"/>
      <c r="H4" s="1422"/>
      <c r="I4" s="1422"/>
      <c r="J4" s="1422"/>
      <c r="K4" s="1422"/>
      <c r="L4" s="1422"/>
      <c r="M4" s="1422"/>
      <c r="N4" s="1422"/>
      <c r="O4" s="1422"/>
    </row>
    <row r="5" spans="1:15" x14ac:dyDescent="0.25">
      <c r="E5" s="32"/>
      <c r="F5" s="32"/>
      <c r="G5" s="32"/>
      <c r="H5" s="32"/>
      <c r="I5" s="32"/>
      <c r="J5" s="32"/>
      <c r="K5" s="32"/>
      <c r="L5" s="32"/>
      <c r="M5" s="32"/>
      <c r="N5" s="32"/>
      <c r="O5" s="32"/>
    </row>
    <row r="6" spans="1:15" x14ac:dyDescent="0.25">
      <c r="A6" s="1416"/>
      <c r="B6" s="1416"/>
      <c r="C6" s="1416"/>
      <c r="D6" s="1416" t="s">
        <v>198</v>
      </c>
      <c r="E6" s="1416"/>
      <c r="F6" s="1416"/>
      <c r="G6" s="1416" t="s">
        <v>23</v>
      </c>
      <c r="H6" s="1416"/>
      <c r="I6" s="1416"/>
      <c r="J6" s="1416" t="s">
        <v>25</v>
      </c>
      <c r="K6" s="1416"/>
      <c r="L6" s="1416"/>
      <c r="M6" s="1416" t="s">
        <v>24</v>
      </c>
      <c r="N6" s="1416"/>
      <c r="O6" s="1416"/>
    </row>
    <row r="7" spans="1:15" x14ac:dyDescent="0.25">
      <c r="A7" s="1425" t="s">
        <v>199</v>
      </c>
      <c r="B7" s="1425"/>
      <c r="C7" s="1425"/>
      <c r="D7" s="1426">
        <f>SUM(G7:O7)</f>
        <v>479571</v>
      </c>
      <c r="E7" s="1426"/>
      <c r="F7" s="1426"/>
      <c r="G7" s="1427">
        <v>316099</v>
      </c>
      <c r="H7" s="1427"/>
      <c r="I7" s="1427"/>
      <c r="J7" s="1427"/>
      <c r="K7" s="1427"/>
      <c r="L7" s="1427"/>
      <c r="M7" s="1427">
        <v>163472</v>
      </c>
      <c r="N7" s="1427"/>
      <c r="O7" s="1427"/>
    </row>
    <row r="8" spans="1:15" x14ac:dyDescent="0.25">
      <c r="A8" s="1425" t="s">
        <v>200</v>
      </c>
      <c r="B8" s="1425"/>
      <c r="C8" s="1425"/>
      <c r="D8" s="1426">
        <f>SUM(G8:O8)</f>
        <v>34524</v>
      </c>
      <c r="E8" s="1426"/>
      <c r="F8" s="1426"/>
      <c r="G8" s="1427">
        <v>15874</v>
      </c>
      <c r="H8" s="1427"/>
      <c r="I8" s="1427"/>
      <c r="J8" s="1427"/>
      <c r="K8" s="1427"/>
      <c r="L8" s="1427"/>
      <c r="M8" s="1427">
        <v>18650</v>
      </c>
      <c r="N8" s="1427"/>
      <c r="O8" s="1427"/>
    </row>
    <row r="9" spans="1:15" x14ac:dyDescent="0.25">
      <c r="A9" s="1425" t="s">
        <v>201</v>
      </c>
      <c r="B9" s="1425"/>
      <c r="C9" s="1425"/>
      <c r="D9" s="1426">
        <f>SUM(G9:O9)</f>
        <v>16282</v>
      </c>
      <c r="E9" s="1426"/>
      <c r="F9" s="1426"/>
      <c r="G9" s="1427">
        <v>12072</v>
      </c>
      <c r="H9" s="1427"/>
      <c r="I9" s="1427"/>
      <c r="J9" s="1427"/>
      <c r="K9" s="1427"/>
      <c r="L9" s="1427"/>
      <c r="M9" s="1427">
        <v>4210</v>
      </c>
      <c r="N9" s="1427"/>
      <c r="O9" s="1427"/>
    </row>
    <row r="10" spans="1:15" x14ac:dyDescent="0.25">
      <c r="A10" s="1428" t="s">
        <v>202</v>
      </c>
      <c r="B10" s="1428"/>
      <c r="C10" s="1428"/>
      <c r="D10" s="1429">
        <f>SUM(D7:F9)</f>
        <v>530377</v>
      </c>
      <c r="E10" s="1429"/>
      <c r="F10" s="1429"/>
      <c r="G10" s="1429">
        <f>SUM(G7:I9)</f>
        <v>344045</v>
      </c>
      <c r="H10" s="1429"/>
      <c r="I10" s="1429"/>
      <c r="J10" s="1429">
        <f>SUM(J7:L9)</f>
        <v>0</v>
      </c>
      <c r="K10" s="1429"/>
      <c r="L10" s="1429"/>
      <c r="M10" s="1429">
        <f>SUM(M7:O9)</f>
        <v>186332</v>
      </c>
      <c r="N10" s="1429"/>
      <c r="O10" s="1429"/>
    </row>
    <row r="12" spans="1:15" ht="37.5" customHeight="1" x14ac:dyDescent="0.25">
      <c r="A12" s="1420" t="s">
        <v>203</v>
      </c>
      <c r="B12" s="1420"/>
      <c r="C12" s="1420"/>
      <c r="D12" s="1420"/>
      <c r="E12" s="1420"/>
      <c r="F12" s="1420"/>
      <c r="G12" s="1420"/>
      <c r="H12" s="1420"/>
      <c r="I12" s="1420"/>
      <c r="J12" s="1420"/>
      <c r="K12" s="1420"/>
      <c r="L12" s="1420"/>
      <c r="M12" s="1420"/>
      <c r="N12" s="1420"/>
      <c r="O12" s="1420"/>
    </row>
    <row r="13" spans="1:15" ht="74.25" customHeight="1" x14ac:dyDescent="0.25">
      <c r="A13" s="1421" t="s">
        <v>204</v>
      </c>
      <c r="B13" s="1422"/>
      <c r="C13" s="1422"/>
      <c r="D13" s="1422"/>
      <c r="E13" s="1422"/>
      <c r="F13" s="1422"/>
      <c r="G13" s="1422"/>
      <c r="H13" s="1422"/>
      <c r="I13" s="1422"/>
      <c r="J13" s="1422"/>
      <c r="K13" s="1422"/>
      <c r="L13" s="1422"/>
      <c r="M13" s="1422"/>
      <c r="N13" s="1422"/>
      <c r="O13" s="1422"/>
    </row>
    <row r="15" spans="1:15" x14ac:dyDescent="0.25">
      <c r="A15" s="1423" t="s">
        <v>198</v>
      </c>
      <c r="B15" s="1424"/>
      <c r="C15" s="1424"/>
      <c r="D15" s="1424"/>
      <c r="E15" s="1424"/>
      <c r="F15" s="1430" t="s">
        <v>146</v>
      </c>
      <c r="G15" s="1431"/>
      <c r="H15" s="1431"/>
      <c r="I15" s="1431"/>
      <c r="J15" s="1432"/>
      <c r="K15" s="1433" t="s">
        <v>205</v>
      </c>
      <c r="L15" s="1433"/>
      <c r="M15" s="1433"/>
      <c r="N15" s="1433"/>
      <c r="O15" s="1433"/>
    </row>
    <row r="16" spans="1:15" x14ac:dyDescent="0.25">
      <c r="A16" s="1441" t="s">
        <v>206</v>
      </c>
      <c r="B16" s="1442"/>
      <c r="C16" s="1442"/>
      <c r="D16" s="1442"/>
      <c r="E16" s="1442"/>
      <c r="F16" s="1443">
        <f>SUM(F17:J18)</f>
        <v>60.112899999999996</v>
      </c>
      <c r="G16" s="1444"/>
      <c r="H16" s="1444"/>
      <c r="I16" s="1444"/>
      <c r="J16" s="1445"/>
      <c r="K16" s="1446">
        <f>F16/$F$32</f>
        <v>0.42002366595051566</v>
      </c>
      <c r="L16" s="1447"/>
      <c r="M16" s="1447"/>
      <c r="N16" s="1447"/>
      <c r="O16" s="1447"/>
    </row>
    <row r="17" spans="1:23" x14ac:dyDescent="0.25">
      <c r="A17" s="1434" t="s">
        <v>207</v>
      </c>
      <c r="B17" s="1435"/>
      <c r="C17" s="1435"/>
      <c r="D17" s="1435"/>
      <c r="E17" s="1435"/>
      <c r="F17" s="1436">
        <v>39.883499999999998</v>
      </c>
      <c r="G17" s="1437"/>
      <c r="H17" s="1437"/>
      <c r="I17" s="1437"/>
      <c r="J17" s="1438"/>
      <c r="K17" s="1439">
        <f>F17/$F$32</f>
        <v>0.27867585627939084</v>
      </c>
      <c r="L17" s="1440"/>
      <c r="M17" s="1440"/>
      <c r="N17" s="1440"/>
      <c r="O17" s="1440"/>
    </row>
    <row r="18" spans="1:23" x14ac:dyDescent="0.25">
      <c r="A18" s="1441" t="s">
        <v>208</v>
      </c>
      <c r="B18" s="1442"/>
      <c r="C18" s="1442"/>
      <c r="D18" s="1442"/>
      <c r="E18" s="1442"/>
      <c r="F18" s="1443">
        <f>SUM(F19:J28)</f>
        <v>20.229400000000002</v>
      </c>
      <c r="G18" s="1444"/>
      <c r="H18" s="1444"/>
      <c r="I18" s="1444"/>
      <c r="J18" s="1445"/>
      <c r="K18" s="1448">
        <f t="shared" ref="K18:K32" si="0">F18/$F$32</f>
        <v>0.1413478096711249</v>
      </c>
      <c r="L18" s="1449"/>
      <c r="M18" s="1449"/>
      <c r="N18" s="1449"/>
      <c r="O18" s="1450"/>
      <c r="S18" s="266"/>
      <c r="T18" s="266"/>
      <c r="U18" s="266"/>
      <c r="V18" s="266"/>
      <c r="W18" s="266"/>
    </row>
    <row r="19" spans="1:23" x14ac:dyDescent="0.25">
      <c r="A19" s="1434" t="s">
        <v>209</v>
      </c>
      <c r="B19" s="1435"/>
      <c r="C19" s="1435"/>
      <c r="D19" s="1435"/>
      <c r="E19" s="1435"/>
      <c r="F19" s="1451">
        <v>3.8433999999999999</v>
      </c>
      <c r="G19" s="1452"/>
      <c r="H19" s="1452"/>
      <c r="I19" s="1452"/>
      <c r="J19" s="1453"/>
      <c r="K19" s="1454">
        <f>F19/$F$32</f>
        <v>2.6854784209615772E-2</v>
      </c>
      <c r="L19" s="1455"/>
      <c r="M19" s="1455"/>
      <c r="N19" s="1455"/>
      <c r="O19" s="1456"/>
      <c r="S19" s="266"/>
      <c r="T19" s="266"/>
      <c r="U19" s="266"/>
      <c r="V19" s="266"/>
      <c r="W19" s="266"/>
    </row>
    <row r="20" spans="1:23" x14ac:dyDescent="0.25">
      <c r="A20" s="1434" t="s">
        <v>210</v>
      </c>
      <c r="B20" s="1435"/>
      <c r="C20" s="1435"/>
      <c r="D20" s="1435"/>
      <c r="E20" s="1435"/>
      <c r="F20" s="1451">
        <v>1.2503</v>
      </c>
      <c r="G20" s="1452"/>
      <c r="H20" s="1452"/>
      <c r="I20" s="1452"/>
      <c r="J20" s="1453"/>
      <c r="K20" s="1454">
        <f t="shared" ref="K20:K28" si="1">F20/$F$32</f>
        <v>8.7361546280071301E-3</v>
      </c>
      <c r="L20" s="1455"/>
      <c r="M20" s="1455"/>
      <c r="N20" s="1455"/>
      <c r="O20" s="1456"/>
      <c r="S20" s="266"/>
      <c r="T20" s="266"/>
      <c r="U20" s="266"/>
      <c r="V20" s="266"/>
      <c r="W20" s="266"/>
    </row>
    <row r="21" spans="1:23" x14ac:dyDescent="0.25">
      <c r="A21" s="1434" t="s">
        <v>211</v>
      </c>
      <c r="B21" s="1435"/>
      <c r="C21" s="1435"/>
      <c r="D21" s="1435"/>
      <c r="E21" s="1435"/>
      <c r="F21" s="1451">
        <v>0.83540000000000003</v>
      </c>
      <c r="G21" s="1452"/>
      <c r="H21" s="1452"/>
      <c r="I21" s="1452"/>
      <c r="J21" s="1453"/>
      <c r="K21" s="1454">
        <f t="shared" si="1"/>
        <v>5.8371459459626938E-3</v>
      </c>
      <c r="L21" s="1455"/>
      <c r="M21" s="1455"/>
      <c r="N21" s="1455"/>
      <c r="O21" s="1456"/>
      <c r="S21" s="266"/>
      <c r="T21" s="266"/>
      <c r="U21" s="266"/>
      <c r="V21" s="266"/>
      <c r="W21" s="266"/>
    </row>
    <row r="22" spans="1:23" x14ac:dyDescent="0.25">
      <c r="A22" s="1434" t="s">
        <v>212</v>
      </c>
      <c r="B22" s="1435"/>
      <c r="C22" s="1435"/>
      <c r="D22" s="1435"/>
      <c r="E22" s="1435"/>
      <c r="F22" s="1451">
        <v>1.4186000000000001</v>
      </c>
      <c r="G22" s="1452"/>
      <c r="H22" s="1452"/>
      <c r="I22" s="1452"/>
      <c r="J22" s="1453"/>
      <c r="K22" s="1454">
        <f t="shared" si="1"/>
        <v>9.9121082582507517E-3</v>
      </c>
      <c r="L22" s="1455"/>
      <c r="M22" s="1455"/>
      <c r="N22" s="1455"/>
      <c r="O22" s="1456"/>
      <c r="S22" s="266"/>
      <c r="T22" s="266"/>
      <c r="U22" s="266"/>
      <c r="V22" s="266"/>
      <c r="W22" s="266"/>
    </row>
    <row r="23" spans="1:23" x14ac:dyDescent="0.25">
      <c r="A23" s="1434" t="s">
        <v>213</v>
      </c>
      <c r="B23" s="1435"/>
      <c r="C23" s="1435"/>
      <c r="D23" s="1435"/>
      <c r="E23" s="1435"/>
      <c r="F23" s="1451">
        <v>3.1833999999999998</v>
      </c>
      <c r="G23" s="1452"/>
      <c r="H23" s="1452"/>
      <c r="I23" s="1452"/>
      <c r="J23" s="1453"/>
      <c r="K23" s="1454">
        <f t="shared" si="1"/>
        <v>2.2243201345915297E-2</v>
      </c>
      <c r="L23" s="1455"/>
      <c r="M23" s="1455"/>
      <c r="N23" s="1455"/>
      <c r="O23" s="1456"/>
      <c r="S23" s="266"/>
      <c r="T23" s="266"/>
      <c r="U23" s="266"/>
      <c r="V23" s="266"/>
      <c r="W23" s="266"/>
    </row>
    <row r="24" spans="1:23" x14ac:dyDescent="0.25">
      <c r="A24" s="1434" t="s">
        <v>214</v>
      </c>
      <c r="B24" s="1435"/>
      <c r="C24" s="1435"/>
      <c r="D24" s="1435"/>
      <c r="E24" s="1435"/>
      <c r="F24" s="1451">
        <v>0.83809999999999996</v>
      </c>
      <c r="G24" s="1452"/>
      <c r="H24" s="1452"/>
      <c r="I24" s="1452"/>
      <c r="J24" s="1453"/>
      <c r="K24" s="1454">
        <f t="shared" si="1"/>
        <v>5.8560115122232867E-3</v>
      </c>
      <c r="L24" s="1455"/>
      <c r="M24" s="1455"/>
      <c r="N24" s="1455"/>
      <c r="O24" s="1456"/>
      <c r="S24" s="266"/>
      <c r="T24" s="266"/>
      <c r="U24" s="266"/>
      <c r="V24" s="266"/>
      <c r="W24" s="266"/>
    </row>
    <row r="25" spans="1:23" x14ac:dyDescent="0.25">
      <c r="A25" s="1434" t="s">
        <v>215</v>
      </c>
      <c r="B25" s="1435"/>
      <c r="C25" s="1435"/>
      <c r="D25" s="1435"/>
      <c r="E25" s="1435"/>
      <c r="F25" s="1451">
        <v>0.1125</v>
      </c>
      <c r="G25" s="1452"/>
      <c r="H25" s="1452"/>
      <c r="I25" s="1452"/>
      <c r="J25" s="1453"/>
      <c r="K25" s="1454">
        <f t="shared" si="1"/>
        <v>7.8606526085803576E-4</v>
      </c>
      <c r="L25" s="1455"/>
      <c r="M25" s="1455"/>
      <c r="N25" s="1455"/>
      <c r="O25" s="1456"/>
      <c r="S25" s="266"/>
      <c r="T25" s="266"/>
      <c r="U25" s="266"/>
      <c r="V25" s="266"/>
      <c r="W25" s="266"/>
    </row>
    <row r="26" spans="1:23" x14ac:dyDescent="0.25">
      <c r="A26" s="1434" t="s">
        <v>216</v>
      </c>
      <c r="B26" s="1435"/>
      <c r="C26" s="1435"/>
      <c r="D26" s="1435"/>
      <c r="E26" s="1435"/>
      <c r="F26" s="1451">
        <v>2.2307999999999999</v>
      </c>
      <c r="G26" s="1452"/>
      <c r="H26" s="1452"/>
      <c r="I26" s="1452"/>
      <c r="J26" s="1453"/>
      <c r="K26" s="1454">
        <f t="shared" si="1"/>
        <v>1.558715007930761E-2</v>
      </c>
      <c r="L26" s="1455"/>
      <c r="M26" s="1455"/>
      <c r="N26" s="1455"/>
      <c r="O26" s="1456"/>
      <c r="S26" s="266"/>
      <c r="T26" s="266"/>
      <c r="U26" s="266"/>
      <c r="V26" s="266"/>
      <c r="W26" s="266"/>
    </row>
    <row r="27" spans="1:23" x14ac:dyDescent="0.25">
      <c r="A27" s="1434" t="s">
        <v>217</v>
      </c>
      <c r="B27" s="1435"/>
      <c r="C27" s="1435"/>
      <c r="D27" s="1435"/>
      <c r="E27" s="1435"/>
      <c r="F27" s="1451">
        <v>3.3006000000000002</v>
      </c>
      <c r="G27" s="1452"/>
      <c r="H27" s="1452"/>
      <c r="I27" s="1452"/>
      <c r="J27" s="1453"/>
      <c r="K27" s="1454">
        <f t="shared" si="1"/>
        <v>2.3062106666560292E-2</v>
      </c>
      <c r="L27" s="1455"/>
      <c r="M27" s="1455"/>
      <c r="N27" s="1455"/>
      <c r="O27" s="1456"/>
      <c r="S27" s="266"/>
      <c r="T27" s="266"/>
      <c r="U27" s="266"/>
      <c r="V27" s="266"/>
      <c r="W27" s="266"/>
    </row>
    <row r="28" spans="1:23" x14ac:dyDescent="0.25">
      <c r="A28" s="1434" t="s">
        <v>218</v>
      </c>
      <c r="B28" s="1435"/>
      <c r="C28" s="1435"/>
      <c r="D28" s="1435"/>
      <c r="E28" s="1435"/>
      <c r="F28" s="1451">
        <v>3.2162999999999999</v>
      </c>
      <c r="G28" s="1452"/>
      <c r="H28" s="1452"/>
      <c r="I28" s="1452"/>
      <c r="J28" s="1453"/>
      <c r="K28" s="1454">
        <f t="shared" si="1"/>
        <v>2.2473081764424002E-2</v>
      </c>
      <c r="L28" s="1455"/>
      <c r="M28" s="1455"/>
      <c r="N28" s="1455"/>
      <c r="O28" s="1456"/>
      <c r="R28" s="259"/>
    </row>
    <row r="29" spans="1:23" x14ac:dyDescent="0.25">
      <c r="A29" s="1457" t="s">
        <v>219</v>
      </c>
      <c r="B29" s="1458"/>
      <c r="C29" s="1458"/>
      <c r="D29" s="1458"/>
      <c r="E29" s="1458"/>
      <c r="F29" s="1459">
        <f>SUM(F30,F31)</f>
        <v>62.775588045580008</v>
      </c>
      <c r="G29" s="1460"/>
      <c r="H29" s="1460"/>
      <c r="I29" s="1460"/>
      <c r="J29" s="1461"/>
      <c r="K29" s="1462">
        <f t="shared" si="0"/>
        <v>0.43862852437835947</v>
      </c>
      <c r="L29" s="1463"/>
      <c r="M29" s="1463"/>
      <c r="N29" s="1463"/>
      <c r="O29" s="1464"/>
    </row>
    <row r="30" spans="1:23" ht="15" customHeight="1" x14ac:dyDescent="0.25">
      <c r="A30" s="1434" t="s">
        <v>220</v>
      </c>
      <c r="B30" s="1435"/>
      <c r="C30" s="1435"/>
      <c r="D30" s="1435"/>
      <c r="E30" s="1435"/>
      <c r="F30" s="1436">
        <v>29.397449135150001</v>
      </c>
      <c r="G30" s="1437"/>
      <c r="H30" s="1437"/>
      <c r="I30" s="1437"/>
      <c r="J30" s="1438"/>
      <c r="K30" s="1454">
        <f t="shared" si="0"/>
        <v>0.2054072313154002</v>
      </c>
      <c r="L30" s="1455"/>
      <c r="M30" s="1455"/>
      <c r="N30" s="1455"/>
      <c r="O30" s="1456"/>
    </row>
    <row r="31" spans="1:23" x14ac:dyDescent="0.25">
      <c r="A31" s="1434" t="s">
        <v>221</v>
      </c>
      <c r="B31" s="1435"/>
      <c r="C31" s="1435"/>
      <c r="D31" s="1435"/>
      <c r="E31" s="1435"/>
      <c r="F31" s="1436">
        <v>33.378138910430003</v>
      </c>
      <c r="G31" s="1437"/>
      <c r="H31" s="1437"/>
      <c r="I31" s="1437"/>
      <c r="J31" s="1438"/>
      <c r="K31" s="1454">
        <f t="shared" si="0"/>
        <v>0.23322129306295922</v>
      </c>
      <c r="L31" s="1455"/>
      <c r="M31" s="1455"/>
      <c r="N31" s="1455"/>
      <c r="O31" s="1456"/>
    </row>
    <row r="32" spans="1:23" x14ac:dyDescent="0.25">
      <c r="A32" s="1457" t="s">
        <v>222</v>
      </c>
      <c r="B32" s="1458"/>
      <c r="C32" s="1458"/>
      <c r="D32" s="1458"/>
      <c r="E32" s="1458"/>
      <c r="F32" s="1459">
        <f>SUM(F29+F18+F16)</f>
        <v>143.11788804558</v>
      </c>
      <c r="G32" s="1460"/>
      <c r="H32" s="1460"/>
      <c r="I32" s="1460"/>
      <c r="J32" s="1461"/>
      <c r="K32" s="1462">
        <f t="shared" si="0"/>
        <v>1</v>
      </c>
      <c r="L32" s="1463"/>
      <c r="M32" s="1463"/>
      <c r="N32" s="1463"/>
      <c r="O32" s="1464"/>
    </row>
    <row r="33" spans="1:15" x14ac:dyDescent="0.25">
      <c r="A33" s="14"/>
      <c r="B33" s="14"/>
      <c r="C33" s="14"/>
      <c r="D33" s="14"/>
      <c r="E33" s="14"/>
      <c r="F33" s="211"/>
      <c r="G33" s="211"/>
      <c r="H33" s="211"/>
      <c r="I33" s="211"/>
      <c r="J33" s="211"/>
      <c r="K33" s="216"/>
      <c r="L33" s="211"/>
      <c r="M33" s="211"/>
      <c r="N33" s="211"/>
      <c r="O33" s="211"/>
    </row>
    <row r="34" spans="1:15" x14ac:dyDescent="0.25">
      <c r="A34" s="1422" t="s">
        <v>223</v>
      </c>
      <c r="B34" s="1422"/>
      <c r="C34" s="1422"/>
      <c r="D34" s="1422"/>
      <c r="E34" s="1422"/>
      <c r="F34" s="1422"/>
      <c r="G34" s="1422"/>
      <c r="H34" s="1422"/>
      <c r="I34" s="1422"/>
      <c r="J34" s="1422"/>
      <c r="K34" s="1422"/>
      <c r="L34" s="1422"/>
      <c r="M34" s="1422"/>
      <c r="N34" s="1422"/>
      <c r="O34" s="1422"/>
    </row>
    <row r="35" spans="1:15" x14ac:dyDescent="0.25">
      <c r="A35" s="26"/>
      <c r="B35" s="26"/>
      <c r="C35" s="26"/>
      <c r="D35" s="26"/>
      <c r="E35" s="26"/>
      <c r="F35" s="26"/>
      <c r="G35" s="26"/>
      <c r="H35" s="26"/>
      <c r="I35" s="26"/>
      <c r="J35" s="26"/>
      <c r="K35" s="26"/>
      <c r="L35" s="26"/>
      <c r="M35" s="26"/>
      <c r="N35" s="26"/>
      <c r="O35" s="26"/>
    </row>
    <row r="36" spans="1:15" ht="38.25" customHeight="1" x14ac:dyDescent="0.25">
      <c r="A36" s="1420" t="s">
        <v>224</v>
      </c>
      <c r="B36" s="1420"/>
      <c r="C36" s="1420"/>
      <c r="D36" s="1420"/>
      <c r="E36" s="1420"/>
      <c r="F36" s="1420"/>
      <c r="G36" s="1420"/>
      <c r="H36" s="1420"/>
      <c r="I36" s="1420"/>
      <c r="J36" s="1420"/>
      <c r="K36" s="1420"/>
      <c r="L36" s="1420"/>
      <c r="M36" s="1420"/>
      <c r="N36" s="1420"/>
      <c r="O36" s="1420"/>
    </row>
    <row r="37" spans="1:15" ht="236.25" customHeight="1" x14ac:dyDescent="0.25">
      <c r="A37" s="1421" t="s">
        <v>225</v>
      </c>
      <c r="B37" s="1421"/>
      <c r="C37" s="1421"/>
      <c r="D37" s="1421"/>
      <c r="E37" s="1421"/>
      <c r="F37" s="1421"/>
      <c r="G37" s="1421"/>
      <c r="H37" s="1421"/>
      <c r="I37" s="1421"/>
      <c r="J37" s="1421"/>
      <c r="K37" s="1421"/>
      <c r="L37" s="1421"/>
      <c r="M37" s="1421"/>
      <c r="N37" s="1421"/>
      <c r="O37" s="1421"/>
    </row>
    <row r="38" spans="1:15" x14ac:dyDescent="0.25">
      <c r="A38" s="1466" t="s">
        <v>226</v>
      </c>
      <c r="B38" s="1466"/>
      <c r="C38" s="1466"/>
      <c r="D38" s="1466"/>
      <c r="E38" s="1466"/>
      <c r="F38" s="1466"/>
      <c r="G38" s="1466"/>
      <c r="H38" s="1466"/>
      <c r="I38" s="1466"/>
      <c r="J38" s="1466"/>
      <c r="K38" s="1466"/>
      <c r="L38" s="1466"/>
      <c r="M38" s="1466"/>
      <c r="N38" s="1466"/>
      <c r="O38" s="1466"/>
    </row>
    <row r="39" spans="1:15" ht="241.5" customHeight="1" x14ac:dyDescent="0.25">
      <c r="A39" s="375"/>
      <c r="B39" s="375"/>
      <c r="C39" s="375"/>
      <c r="D39" s="375"/>
      <c r="E39" s="375"/>
      <c r="F39" s="375"/>
      <c r="G39" s="375"/>
      <c r="H39" s="375"/>
      <c r="I39" s="375"/>
      <c r="J39" s="375"/>
      <c r="K39" s="375"/>
      <c r="L39" s="375"/>
      <c r="M39" s="375"/>
      <c r="N39" s="375"/>
      <c r="O39" s="375"/>
    </row>
    <row r="40" spans="1:15" x14ac:dyDescent="0.25">
      <c r="A40" s="1466" t="s">
        <v>227</v>
      </c>
      <c r="B40" s="1466"/>
      <c r="C40" s="1466"/>
      <c r="D40" s="1466"/>
      <c r="E40" s="1466"/>
      <c r="F40" s="1466"/>
      <c r="G40" s="1466"/>
      <c r="H40" s="1466"/>
      <c r="I40" s="1466"/>
      <c r="J40" s="1466"/>
      <c r="K40" s="1466"/>
      <c r="L40" s="1466"/>
      <c r="M40" s="1466"/>
      <c r="N40" s="1466"/>
      <c r="O40" s="1466"/>
    </row>
    <row r="41" spans="1:15" ht="241.5" customHeight="1" x14ac:dyDescent="0.25">
      <c r="A41" s="375"/>
      <c r="B41" s="375"/>
      <c r="C41" s="375"/>
      <c r="D41" s="375"/>
      <c r="E41" s="375"/>
      <c r="F41" s="375"/>
      <c r="G41" s="375"/>
      <c r="H41" s="375"/>
      <c r="I41" s="375"/>
      <c r="J41" s="375"/>
      <c r="K41" s="375"/>
      <c r="L41" s="375"/>
      <c r="M41" s="375"/>
      <c r="N41" s="375"/>
      <c r="O41" s="375"/>
    </row>
    <row r="42" spans="1:15" ht="36.75" customHeight="1" x14ac:dyDescent="0.25">
      <c r="A42" s="1420" t="s">
        <v>228</v>
      </c>
      <c r="B42" s="1420"/>
      <c r="C42" s="1420"/>
      <c r="D42" s="1420"/>
      <c r="E42" s="1420"/>
      <c r="F42" s="1420"/>
      <c r="G42" s="1420"/>
      <c r="H42" s="1420"/>
      <c r="I42" s="1420"/>
      <c r="J42" s="1420"/>
      <c r="K42" s="1420"/>
      <c r="L42" s="1420"/>
      <c r="M42" s="1420"/>
      <c r="N42" s="1420"/>
      <c r="O42" s="1420"/>
    </row>
    <row r="43" spans="1:15" ht="270" customHeight="1" x14ac:dyDescent="0.25">
      <c r="A43" s="1421" t="s">
        <v>229</v>
      </c>
      <c r="B43" s="1422"/>
      <c r="C43" s="1422"/>
      <c r="D43" s="1422"/>
      <c r="E43" s="1422"/>
      <c r="F43" s="1422"/>
      <c r="G43" s="1422"/>
      <c r="H43" s="1422"/>
      <c r="I43" s="1422"/>
      <c r="J43" s="1422"/>
      <c r="K43" s="1422"/>
      <c r="L43" s="1422"/>
      <c r="M43" s="1422"/>
      <c r="N43" s="1422"/>
      <c r="O43" s="1422"/>
    </row>
    <row r="44" spans="1:15" x14ac:dyDescent="0.25">
      <c r="A44" s="77"/>
      <c r="B44" s="32"/>
      <c r="C44" s="32"/>
      <c r="D44" s="32"/>
      <c r="E44" s="32"/>
      <c r="F44" s="32"/>
      <c r="G44" s="32"/>
      <c r="H44" s="32"/>
      <c r="I44" s="32"/>
      <c r="J44" s="32"/>
      <c r="K44" s="32"/>
      <c r="L44" s="32"/>
      <c r="M44" s="32"/>
      <c r="N44" s="32"/>
      <c r="O44" s="32"/>
    </row>
    <row r="46" spans="1:15" ht="36.75" customHeight="1" x14ac:dyDescent="0.25">
      <c r="A46" s="1420" t="s">
        <v>230</v>
      </c>
      <c r="B46" s="1420"/>
      <c r="C46" s="1420"/>
      <c r="D46" s="1420"/>
      <c r="E46" s="1420"/>
      <c r="F46" s="1420"/>
      <c r="G46" s="1420"/>
      <c r="H46" s="1420"/>
      <c r="I46" s="1420"/>
      <c r="J46" s="1420"/>
      <c r="K46" s="1420"/>
      <c r="L46" s="1420"/>
      <c r="M46" s="1420"/>
      <c r="N46" s="1420"/>
      <c r="O46" s="1420"/>
    </row>
    <row r="47" spans="1:15" ht="134.25" customHeight="1" x14ac:dyDescent="0.25">
      <c r="A47" s="1421" t="s">
        <v>231</v>
      </c>
      <c r="B47" s="1422"/>
      <c r="C47" s="1422"/>
      <c r="D47" s="1422"/>
      <c r="E47" s="1422"/>
      <c r="F47" s="1422"/>
      <c r="G47" s="1422"/>
      <c r="H47" s="1422"/>
      <c r="I47" s="1422"/>
      <c r="J47" s="1422"/>
      <c r="K47" s="1422"/>
      <c r="L47" s="1422"/>
      <c r="M47" s="1422"/>
      <c r="N47" s="1422"/>
      <c r="O47" s="1422"/>
    </row>
    <row r="48" spans="1:15" x14ac:dyDescent="0.25">
      <c r="A48" s="1465" t="s">
        <v>232</v>
      </c>
      <c r="B48" s="1465"/>
      <c r="C48" s="1465"/>
      <c r="D48" s="1465"/>
      <c r="E48" s="1465"/>
      <c r="F48" s="1465"/>
      <c r="G48" s="1465"/>
      <c r="H48" s="1465"/>
      <c r="I48" s="1465"/>
      <c r="J48" s="1465"/>
      <c r="K48" s="1465"/>
      <c r="L48" s="1465"/>
      <c r="M48" s="1465"/>
      <c r="N48" s="1465"/>
      <c r="O48" s="1465"/>
    </row>
  </sheetData>
  <mergeCells count="96">
    <mergeCell ref="A47:O47"/>
    <mergeCell ref="A48:O48"/>
    <mergeCell ref="A34:O34"/>
    <mergeCell ref="A36:O36"/>
    <mergeCell ref="A37:O37"/>
    <mergeCell ref="A38:O38"/>
    <mergeCell ref="A40:O40"/>
    <mergeCell ref="A42:O42"/>
    <mergeCell ref="A32:E32"/>
    <mergeCell ref="F32:J32"/>
    <mergeCell ref="K32:O32"/>
    <mergeCell ref="A43:O43"/>
    <mergeCell ref="A46:O46"/>
    <mergeCell ref="A30:E30"/>
    <mergeCell ref="F30:J30"/>
    <mergeCell ref="K30:O30"/>
    <mergeCell ref="A31:E31"/>
    <mergeCell ref="F31:J31"/>
    <mergeCell ref="K31:O31"/>
    <mergeCell ref="A28:E28"/>
    <mergeCell ref="F28:J28"/>
    <mergeCell ref="K28:O28"/>
    <mergeCell ref="A29:E29"/>
    <mergeCell ref="F29:J29"/>
    <mergeCell ref="K29:O29"/>
    <mergeCell ref="A26:E26"/>
    <mergeCell ref="F26:J26"/>
    <mergeCell ref="K26:O26"/>
    <mergeCell ref="A27:E27"/>
    <mergeCell ref="F27:J27"/>
    <mergeCell ref="K27:O27"/>
    <mergeCell ref="A24:E24"/>
    <mergeCell ref="F24:J24"/>
    <mergeCell ref="K24:O24"/>
    <mergeCell ref="A25:E25"/>
    <mergeCell ref="F25:J25"/>
    <mergeCell ref="K25:O25"/>
    <mergeCell ref="A22:E22"/>
    <mergeCell ref="F22:J22"/>
    <mergeCell ref="K22:O22"/>
    <mergeCell ref="A23:E23"/>
    <mergeCell ref="F23:J23"/>
    <mergeCell ref="K23:O23"/>
    <mergeCell ref="A20:E20"/>
    <mergeCell ref="F20:J20"/>
    <mergeCell ref="K20:O20"/>
    <mergeCell ref="A21:E21"/>
    <mergeCell ref="F21:J21"/>
    <mergeCell ref="K21:O21"/>
    <mergeCell ref="A18:E18"/>
    <mergeCell ref="F18:J18"/>
    <mergeCell ref="K18:O18"/>
    <mergeCell ref="A19:E19"/>
    <mergeCell ref="F19:J19"/>
    <mergeCell ref="K19:O19"/>
    <mergeCell ref="F15:J15"/>
    <mergeCell ref="K15:O15"/>
    <mergeCell ref="A17:E17"/>
    <mergeCell ref="F17:J17"/>
    <mergeCell ref="K17:O17"/>
    <mergeCell ref="A16:E16"/>
    <mergeCell ref="F16:J16"/>
    <mergeCell ref="K16:O16"/>
    <mergeCell ref="J10:L10"/>
    <mergeCell ref="M10:O10"/>
    <mergeCell ref="A9:C9"/>
    <mergeCell ref="D9:F9"/>
    <mergeCell ref="G9:I9"/>
    <mergeCell ref="J9:L9"/>
    <mergeCell ref="M9:O9"/>
    <mergeCell ref="A12:O12"/>
    <mergeCell ref="A13:O13"/>
    <mergeCell ref="A15:E15"/>
    <mergeCell ref="A7:C7"/>
    <mergeCell ref="D7:F7"/>
    <mergeCell ref="G7:I7"/>
    <mergeCell ref="J7:L7"/>
    <mergeCell ref="M7:O7"/>
    <mergeCell ref="A8:C8"/>
    <mergeCell ref="D8:F8"/>
    <mergeCell ref="G8:I8"/>
    <mergeCell ref="J8:L8"/>
    <mergeCell ref="M8:O8"/>
    <mergeCell ref="A10:C10"/>
    <mergeCell ref="D10:F10"/>
    <mergeCell ref="G10:I10"/>
    <mergeCell ref="A1:O1"/>
    <mergeCell ref="A2:M2"/>
    <mergeCell ref="N2:O2"/>
    <mergeCell ref="A3:O3"/>
    <mergeCell ref="A4:O4"/>
    <mergeCell ref="A6:C6"/>
    <mergeCell ref="D6:F6"/>
    <mergeCell ref="G6:I6"/>
    <mergeCell ref="J6:L6"/>
    <mergeCell ref="M6:O6"/>
  </mergeCells>
  <hyperlinks>
    <hyperlink ref="A48:O48" location="Klimaregnskab!A1" display="Se beregninger af bankens indirekte og direkte CO2e-udledning" xr:uid="{89794DE9-C52D-4519-B7A7-8843DB3BA96A}"/>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B9E0D-41AA-446B-989C-FBBC2066FC47}">
  <sheetPr>
    <tabColor rgb="FF3C6E87"/>
  </sheetPr>
  <dimension ref="A1:AA52"/>
  <sheetViews>
    <sheetView showGridLines="0" topLeftCell="A52" zoomScaleNormal="100" workbookViewId="0">
      <selection sqref="A1:O1"/>
    </sheetView>
  </sheetViews>
  <sheetFormatPr defaultColWidth="0" defaultRowHeight="15" zeroHeight="1" x14ac:dyDescent="0.25"/>
  <cols>
    <col min="1" max="15" width="9.140625" customWidth="1"/>
    <col min="16" max="17" width="9.140625" hidden="1" customWidth="1"/>
    <col min="18" max="18" width="14" hidden="1" customWidth="1"/>
    <col min="19" max="19" width="11" hidden="1" customWidth="1"/>
    <col min="20" max="20" width="10" hidden="1" customWidth="1"/>
    <col min="21" max="21" width="11" hidden="1" customWidth="1"/>
    <col min="22" max="22" width="14.28515625" hidden="1" customWidth="1"/>
    <col min="23" max="24" width="10" hidden="1" customWidth="1"/>
    <col min="25" max="27" width="11" hidden="1" customWidth="1"/>
    <col min="28" max="16384" width="9.140625" hidden="1"/>
  </cols>
  <sheetData>
    <row r="1" spans="1:15" ht="35.25" customHeight="1" x14ac:dyDescent="0.25">
      <c r="A1" s="1417" t="s">
        <v>233</v>
      </c>
      <c r="B1" s="1417"/>
      <c r="C1" s="1417"/>
      <c r="D1" s="1417"/>
      <c r="E1" s="1417"/>
      <c r="F1" s="1417"/>
      <c r="G1" s="1417"/>
      <c r="H1" s="1417"/>
      <c r="I1" s="1417"/>
      <c r="J1" s="1417"/>
      <c r="K1" s="1417"/>
      <c r="L1" s="1417"/>
      <c r="M1" s="1417"/>
      <c r="N1" s="1417"/>
      <c r="O1" s="1417"/>
    </row>
    <row r="2" spans="1:15" ht="279.75" customHeight="1" x14ac:dyDescent="0.25">
      <c r="A2" s="1418" t="s">
        <v>234</v>
      </c>
      <c r="B2" s="1418"/>
      <c r="C2" s="1418"/>
      <c r="D2" s="1418"/>
      <c r="E2" s="1418"/>
      <c r="F2" s="1418"/>
      <c r="G2" s="1418"/>
      <c r="H2" s="1418"/>
      <c r="I2" s="1418"/>
      <c r="J2" s="1418"/>
      <c r="K2" s="1418"/>
      <c r="L2" s="1418"/>
      <c r="M2" s="1418"/>
      <c r="N2" s="1419"/>
      <c r="O2" s="1419"/>
    </row>
    <row r="3" spans="1:15" ht="38.25" customHeight="1" x14ac:dyDescent="0.25">
      <c r="A3" s="1420" t="s">
        <v>235</v>
      </c>
      <c r="B3" s="1420"/>
      <c r="C3" s="1420"/>
      <c r="D3" s="1420"/>
      <c r="E3" s="1420"/>
      <c r="F3" s="1420"/>
      <c r="G3" s="1420"/>
      <c r="H3" s="1420"/>
      <c r="I3" s="1420"/>
      <c r="J3" s="1420"/>
      <c r="K3" s="1420"/>
      <c r="L3" s="1420"/>
      <c r="M3" s="1420"/>
      <c r="N3" s="1420"/>
      <c r="O3" s="1420"/>
    </row>
    <row r="4" spans="1:15" ht="179.25" customHeight="1" x14ac:dyDescent="0.25">
      <c r="A4" s="1421" t="s">
        <v>236</v>
      </c>
      <c r="B4" s="1422"/>
      <c r="C4" s="1422"/>
      <c r="D4" s="1422"/>
      <c r="E4" s="1422"/>
      <c r="F4" s="1422"/>
      <c r="G4" s="1422"/>
      <c r="H4" s="1422"/>
      <c r="I4" s="1422"/>
      <c r="J4" s="1422"/>
      <c r="K4" s="1422"/>
      <c r="L4" s="1422"/>
      <c r="M4" s="1422"/>
      <c r="N4" s="1422"/>
      <c r="O4" s="1422"/>
    </row>
    <row r="5" spans="1:15" x14ac:dyDescent="0.25">
      <c r="E5" s="32"/>
      <c r="F5" s="32"/>
      <c r="G5" s="32"/>
      <c r="H5" s="32"/>
      <c r="I5" s="32"/>
      <c r="J5" s="32"/>
      <c r="K5" s="32"/>
      <c r="L5" s="32"/>
      <c r="M5" s="32"/>
      <c r="N5" s="32"/>
      <c r="O5" s="32"/>
    </row>
    <row r="6" spans="1:15" x14ac:dyDescent="0.25">
      <c r="A6" s="1479"/>
      <c r="B6" s="1480"/>
      <c r="C6" s="1480"/>
      <c r="D6" s="1479" t="s">
        <v>237</v>
      </c>
      <c r="E6" s="1480"/>
      <c r="F6" s="1481"/>
      <c r="G6" s="1479" t="s">
        <v>23</v>
      </c>
      <c r="H6" s="1480"/>
      <c r="I6" s="1481"/>
      <c r="J6" s="1479" t="s">
        <v>25</v>
      </c>
      <c r="K6" s="1480"/>
      <c r="L6" s="1481"/>
      <c r="M6" s="1480" t="s">
        <v>24</v>
      </c>
      <c r="N6" s="1480"/>
      <c r="O6" s="1481"/>
    </row>
    <row r="7" spans="1:15" x14ac:dyDescent="0.25">
      <c r="A7" s="1488" t="s">
        <v>238</v>
      </c>
      <c r="B7" s="1425"/>
      <c r="C7" s="1425"/>
      <c r="D7" s="1482">
        <f>SUM(G7:O7)</f>
        <v>503918</v>
      </c>
      <c r="E7" s="1483"/>
      <c r="F7" s="1484"/>
      <c r="G7" s="1485">
        <v>315688</v>
      </c>
      <c r="H7" s="1486"/>
      <c r="I7" s="1487"/>
      <c r="J7" s="1485">
        <v>24758</v>
      </c>
      <c r="K7" s="1486"/>
      <c r="L7" s="1487"/>
      <c r="M7" s="1489">
        <v>163472</v>
      </c>
      <c r="N7" s="1489"/>
      <c r="O7" s="1490"/>
    </row>
    <row r="8" spans="1:15" x14ac:dyDescent="0.25">
      <c r="A8" s="1488" t="s">
        <v>239</v>
      </c>
      <c r="B8" s="1425"/>
      <c r="C8" s="1425"/>
      <c r="D8" s="1482">
        <f>SUM(G8:O8)</f>
        <v>38872</v>
      </c>
      <c r="E8" s="1483"/>
      <c r="F8" s="1484"/>
      <c r="G8" s="1485">
        <v>15874</v>
      </c>
      <c r="H8" s="1486"/>
      <c r="I8" s="1487"/>
      <c r="J8" s="1485">
        <v>4348</v>
      </c>
      <c r="K8" s="1486"/>
      <c r="L8" s="1487"/>
      <c r="M8" s="1489">
        <v>18650</v>
      </c>
      <c r="N8" s="1489"/>
      <c r="O8" s="1490"/>
    </row>
    <row r="9" spans="1:15" x14ac:dyDescent="0.25">
      <c r="A9" s="1488" t="s">
        <v>240</v>
      </c>
      <c r="B9" s="1425"/>
      <c r="C9" s="1425"/>
      <c r="D9" s="1482">
        <f>SUM(G9:O9)</f>
        <v>16693</v>
      </c>
      <c r="E9" s="1483"/>
      <c r="F9" s="1484"/>
      <c r="G9" s="1485">
        <v>12483</v>
      </c>
      <c r="H9" s="1486"/>
      <c r="I9" s="1487"/>
      <c r="J9" s="1485"/>
      <c r="K9" s="1486"/>
      <c r="L9" s="1487"/>
      <c r="M9" s="1489">
        <v>4210</v>
      </c>
      <c r="N9" s="1489"/>
      <c r="O9" s="1490"/>
    </row>
    <row r="10" spans="1:15" x14ac:dyDescent="0.25">
      <c r="A10" s="1491" t="s">
        <v>241</v>
      </c>
      <c r="B10" s="1492"/>
      <c r="C10" s="1492"/>
      <c r="D10" s="1493">
        <f>SUM(D7:F9)</f>
        <v>559483</v>
      </c>
      <c r="E10" s="1494"/>
      <c r="F10" s="1495"/>
      <c r="G10" s="1493">
        <f>SUM(G7:I9)</f>
        <v>344045</v>
      </c>
      <c r="H10" s="1494"/>
      <c r="I10" s="1495"/>
      <c r="J10" s="1493">
        <f>SUM(J7:L9)</f>
        <v>29106</v>
      </c>
      <c r="K10" s="1494"/>
      <c r="L10" s="1495"/>
      <c r="M10" s="1494">
        <v>186332</v>
      </c>
      <c r="N10" s="1494"/>
      <c r="O10" s="1495"/>
    </row>
    <row r="11" spans="1:15" x14ac:dyDescent="0.25"/>
    <row r="12" spans="1:15" ht="37.5" customHeight="1" x14ac:dyDescent="0.25">
      <c r="A12" s="1420" t="s">
        <v>242</v>
      </c>
      <c r="B12" s="1420"/>
      <c r="C12" s="1420"/>
      <c r="D12" s="1420"/>
      <c r="E12" s="1420"/>
      <c r="F12" s="1420"/>
      <c r="G12" s="1420"/>
      <c r="H12" s="1420"/>
      <c r="I12" s="1420"/>
      <c r="J12" s="1420"/>
      <c r="K12" s="1420"/>
      <c r="L12" s="1420"/>
      <c r="M12" s="1420"/>
      <c r="N12" s="1420"/>
      <c r="O12" s="1420"/>
    </row>
    <row r="13" spans="1:15" ht="142.5" customHeight="1" x14ac:dyDescent="0.25">
      <c r="A13" s="1421" t="s">
        <v>243</v>
      </c>
      <c r="B13" s="1422"/>
      <c r="C13" s="1422"/>
      <c r="D13" s="1422"/>
      <c r="E13" s="1422"/>
      <c r="F13" s="1422"/>
      <c r="G13" s="1422"/>
      <c r="H13" s="1422"/>
      <c r="I13" s="1422"/>
      <c r="J13" s="1422"/>
      <c r="K13" s="1422"/>
      <c r="L13" s="1422"/>
      <c r="M13" s="1422"/>
      <c r="N13" s="1422"/>
      <c r="O13" s="1422"/>
    </row>
    <row r="14" spans="1:15" x14ac:dyDescent="0.25">
      <c r="A14" s="1477" t="s">
        <v>237</v>
      </c>
      <c r="B14" s="1478"/>
      <c r="C14" s="1478"/>
      <c r="D14" s="1478"/>
      <c r="E14" s="1478"/>
      <c r="F14" s="1496" t="s">
        <v>29</v>
      </c>
      <c r="G14" s="1497"/>
      <c r="H14" s="1497"/>
      <c r="I14" s="1497"/>
      <c r="J14" s="1498"/>
      <c r="K14" s="1499" t="s">
        <v>244</v>
      </c>
      <c r="L14" s="1499"/>
      <c r="M14" s="1499"/>
      <c r="N14" s="1499"/>
      <c r="O14" s="1500"/>
    </row>
    <row r="15" spans="1:15" x14ac:dyDescent="0.25">
      <c r="A15" s="1472" t="s">
        <v>245</v>
      </c>
      <c r="B15" s="1442"/>
      <c r="C15" s="1442"/>
      <c r="D15" s="1442"/>
      <c r="E15" s="1442"/>
      <c r="F15" s="1443">
        <f>SUM(F16:J17)</f>
        <v>60.112899999999996</v>
      </c>
      <c r="G15" s="1444"/>
      <c r="H15" s="1444"/>
      <c r="I15" s="1444"/>
      <c r="J15" s="1445"/>
      <c r="K15" s="1446">
        <f>F15/$F$31</f>
        <v>0.42002366595051566</v>
      </c>
      <c r="L15" s="1447"/>
      <c r="M15" s="1447"/>
      <c r="N15" s="1447"/>
      <c r="O15" s="1476"/>
    </row>
    <row r="16" spans="1:15" x14ac:dyDescent="0.25">
      <c r="A16" s="1469" t="s">
        <v>246</v>
      </c>
      <c r="B16" s="1435"/>
      <c r="C16" s="1435"/>
      <c r="D16" s="1435"/>
      <c r="E16" s="1435"/>
      <c r="F16" s="1436">
        <v>39.883499999999998</v>
      </c>
      <c r="G16" s="1437"/>
      <c r="H16" s="1437"/>
      <c r="I16" s="1437"/>
      <c r="J16" s="1438"/>
      <c r="K16" s="1439">
        <f>F16/$F$31</f>
        <v>0.27867585627939084</v>
      </c>
      <c r="L16" s="1440"/>
      <c r="M16" s="1440"/>
      <c r="N16" s="1440"/>
      <c r="O16" s="1470"/>
    </row>
    <row r="17" spans="1:23" x14ac:dyDescent="0.25">
      <c r="A17" s="1472" t="s">
        <v>247</v>
      </c>
      <c r="B17" s="1442"/>
      <c r="C17" s="1442"/>
      <c r="D17" s="1442"/>
      <c r="E17" s="1442"/>
      <c r="F17" s="1443">
        <f>SUM(F18:J27)</f>
        <v>20.229400000000002</v>
      </c>
      <c r="G17" s="1444"/>
      <c r="H17" s="1444"/>
      <c r="I17" s="1444"/>
      <c r="J17" s="1445"/>
      <c r="K17" s="1448">
        <f t="shared" ref="K17:K31" si="0">F17/$F$31</f>
        <v>0.1413478096711249</v>
      </c>
      <c r="L17" s="1449"/>
      <c r="M17" s="1449"/>
      <c r="N17" s="1449"/>
      <c r="O17" s="1471"/>
      <c r="S17" s="266"/>
      <c r="T17" s="266"/>
      <c r="U17" s="266"/>
      <c r="V17" s="266"/>
      <c r="W17" s="266"/>
    </row>
    <row r="18" spans="1:23" x14ac:dyDescent="0.25">
      <c r="A18" s="1469" t="s">
        <v>248</v>
      </c>
      <c r="B18" s="1435"/>
      <c r="C18" s="1435"/>
      <c r="D18" s="1435"/>
      <c r="E18" s="1435"/>
      <c r="F18" s="1451">
        <v>3.8433999999999999</v>
      </c>
      <c r="G18" s="1452"/>
      <c r="H18" s="1452"/>
      <c r="I18" s="1452"/>
      <c r="J18" s="1453"/>
      <c r="K18" s="1454">
        <f>F18/$F$31</f>
        <v>2.6854784209615772E-2</v>
      </c>
      <c r="L18" s="1455"/>
      <c r="M18" s="1455"/>
      <c r="N18" s="1455"/>
      <c r="O18" s="1468"/>
      <c r="S18" s="266"/>
      <c r="T18" s="266"/>
      <c r="U18" s="266"/>
      <c r="V18" s="266"/>
      <c r="W18" s="266"/>
    </row>
    <row r="19" spans="1:23" x14ac:dyDescent="0.25">
      <c r="A19" s="1469" t="s">
        <v>249</v>
      </c>
      <c r="B19" s="1435"/>
      <c r="C19" s="1435"/>
      <c r="D19" s="1435"/>
      <c r="E19" s="1435"/>
      <c r="F19" s="1451">
        <v>1.2503</v>
      </c>
      <c r="G19" s="1452"/>
      <c r="H19" s="1452"/>
      <c r="I19" s="1452"/>
      <c r="J19" s="1453"/>
      <c r="K19" s="1454">
        <f t="shared" ref="K19:K27" si="1">F19/$F$31</f>
        <v>8.7361546280071301E-3</v>
      </c>
      <c r="L19" s="1455"/>
      <c r="M19" s="1455"/>
      <c r="N19" s="1455"/>
      <c r="O19" s="1468"/>
      <c r="S19" s="266"/>
      <c r="T19" s="266"/>
      <c r="U19" s="266"/>
      <c r="V19" s="266"/>
      <c r="W19" s="266"/>
    </row>
    <row r="20" spans="1:23" x14ac:dyDescent="0.25">
      <c r="A20" s="1469" t="s">
        <v>250</v>
      </c>
      <c r="B20" s="1435"/>
      <c r="C20" s="1435"/>
      <c r="D20" s="1435"/>
      <c r="E20" s="1435"/>
      <c r="F20" s="1451">
        <v>0.83540000000000003</v>
      </c>
      <c r="G20" s="1452"/>
      <c r="H20" s="1452"/>
      <c r="I20" s="1452"/>
      <c r="J20" s="1453"/>
      <c r="K20" s="1454">
        <f t="shared" si="1"/>
        <v>5.8371459459626938E-3</v>
      </c>
      <c r="L20" s="1455"/>
      <c r="M20" s="1455"/>
      <c r="N20" s="1455"/>
      <c r="O20" s="1468"/>
      <c r="S20" s="266"/>
      <c r="T20" s="266"/>
      <c r="U20" s="266"/>
      <c r="V20" s="266"/>
      <c r="W20" s="266"/>
    </row>
    <row r="21" spans="1:23" x14ac:dyDescent="0.25">
      <c r="A21" s="1469" t="s">
        <v>251</v>
      </c>
      <c r="B21" s="1435"/>
      <c r="C21" s="1435"/>
      <c r="D21" s="1435"/>
      <c r="E21" s="1435"/>
      <c r="F21" s="1451">
        <v>1.4186000000000001</v>
      </c>
      <c r="G21" s="1452"/>
      <c r="H21" s="1452"/>
      <c r="I21" s="1452"/>
      <c r="J21" s="1453"/>
      <c r="K21" s="1454">
        <f t="shared" si="1"/>
        <v>9.9121082582507517E-3</v>
      </c>
      <c r="L21" s="1455"/>
      <c r="M21" s="1455"/>
      <c r="N21" s="1455"/>
      <c r="O21" s="1468"/>
      <c r="S21" s="266"/>
      <c r="T21" s="266"/>
      <c r="U21" s="266"/>
      <c r="V21" s="266"/>
      <c r="W21" s="266"/>
    </row>
    <row r="22" spans="1:23" x14ac:dyDescent="0.25">
      <c r="A22" s="1469" t="s">
        <v>252</v>
      </c>
      <c r="B22" s="1435"/>
      <c r="C22" s="1435"/>
      <c r="D22" s="1435"/>
      <c r="E22" s="1435"/>
      <c r="F22" s="1451">
        <v>3.1833999999999998</v>
      </c>
      <c r="G22" s="1452"/>
      <c r="H22" s="1452"/>
      <c r="I22" s="1452"/>
      <c r="J22" s="1453"/>
      <c r="K22" s="1454">
        <f t="shared" si="1"/>
        <v>2.2243201345915297E-2</v>
      </c>
      <c r="L22" s="1455"/>
      <c r="M22" s="1455"/>
      <c r="N22" s="1455"/>
      <c r="O22" s="1468"/>
      <c r="S22" s="266"/>
      <c r="T22" s="266"/>
      <c r="U22" s="266"/>
      <c r="V22" s="266"/>
      <c r="W22" s="266"/>
    </row>
    <row r="23" spans="1:23" x14ac:dyDescent="0.25">
      <c r="A23" s="1469" t="s">
        <v>253</v>
      </c>
      <c r="B23" s="1435"/>
      <c r="C23" s="1435"/>
      <c r="D23" s="1435"/>
      <c r="E23" s="1435"/>
      <c r="F23" s="1451">
        <v>0.83809999999999996</v>
      </c>
      <c r="G23" s="1452"/>
      <c r="H23" s="1452"/>
      <c r="I23" s="1452"/>
      <c r="J23" s="1453"/>
      <c r="K23" s="1454">
        <f t="shared" si="1"/>
        <v>5.8560115122232867E-3</v>
      </c>
      <c r="L23" s="1455"/>
      <c r="M23" s="1455"/>
      <c r="N23" s="1455"/>
      <c r="O23" s="1468"/>
      <c r="S23" s="266"/>
      <c r="T23" s="266"/>
      <c r="U23" s="266"/>
      <c r="V23" s="266"/>
      <c r="W23" s="266"/>
    </row>
    <row r="24" spans="1:23" x14ac:dyDescent="0.25">
      <c r="A24" s="1469" t="s">
        <v>254</v>
      </c>
      <c r="B24" s="1435"/>
      <c r="C24" s="1435"/>
      <c r="D24" s="1435"/>
      <c r="E24" s="1435"/>
      <c r="F24" s="1451">
        <v>0.1125</v>
      </c>
      <c r="G24" s="1452"/>
      <c r="H24" s="1452"/>
      <c r="I24" s="1452"/>
      <c r="J24" s="1453"/>
      <c r="K24" s="1454">
        <f t="shared" si="1"/>
        <v>7.8606526085803576E-4</v>
      </c>
      <c r="L24" s="1455"/>
      <c r="M24" s="1455"/>
      <c r="N24" s="1455"/>
      <c r="O24" s="1468"/>
      <c r="S24" s="266"/>
      <c r="T24" s="266"/>
      <c r="U24" s="266"/>
      <c r="V24" s="266"/>
      <c r="W24" s="266"/>
    </row>
    <row r="25" spans="1:23" x14ac:dyDescent="0.25">
      <c r="A25" s="1469" t="s">
        <v>255</v>
      </c>
      <c r="B25" s="1435"/>
      <c r="C25" s="1435"/>
      <c r="D25" s="1435"/>
      <c r="E25" s="1435"/>
      <c r="F25" s="1451">
        <v>2.2307999999999999</v>
      </c>
      <c r="G25" s="1452"/>
      <c r="H25" s="1452"/>
      <c r="I25" s="1452"/>
      <c r="J25" s="1453"/>
      <c r="K25" s="1454">
        <f t="shared" si="1"/>
        <v>1.558715007930761E-2</v>
      </c>
      <c r="L25" s="1455"/>
      <c r="M25" s="1455"/>
      <c r="N25" s="1455"/>
      <c r="O25" s="1468"/>
      <c r="S25" s="266"/>
      <c r="T25" s="266"/>
      <c r="U25" s="266"/>
      <c r="V25" s="266"/>
      <c r="W25" s="266"/>
    </row>
    <row r="26" spans="1:23" x14ac:dyDescent="0.25">
      <c r="A26" s="1469" t="s">
        <v>256</v>
      </c>
      <c r="B26" s="1435"/>
      <c r="C26" s="1435"/>
      <c r="D26" s="1435"/>
      <c r="E26" s="1435"/>
      <c r="F26" s="1451">
        <v>3.3006000000000002</v>
      </c>
      <c r="G26" s="1452"/>
      <c r="H26" s="1452"/>
      <c r="I26" s="1452"/>
      <c r="J26" s="1453"/>
      <c r="K26" s="1454">
        <f t="shared" si="1"/>
        <v>2.3062106666560292E-2</v>
      </c>
      <c r="L26" s="1455"/>
      <c r="M26" s="1455"/>
      <c r="N26" s="1455"/>
      <c r="O26" s="1468"/>
      <c r="S26" s="266"/>
      <c r="T26" s="266"/>
      <c r="U26" s="266"/>
      <c r="V26" s="266"/>
      <c r="W26" s="266"/>
    </row>
    <row r="27" spans="1:23" x14ac:dyDescent="0.25">
      <c r="A27" s="1469" t="s">
        <v>253</v>
      </c>
      <c r="B27" s="1435"/>
      <c r="C27" s="1435"/>
      <c r="D27" s="1435"/>
      <c r="E27" s="1435"/>
      <c r="F27" s="1451">
        <v>3.2162999999999999</v>
      </c>
      <c r="G27" s="1452"/>
      <c r="H27" s="1452"/>
      <c r="I27" s="1452"/>
      <c r="J27" s="1453"/>
      <c r="K27" s="1454">
        <f t="shared" si="1"/>
        <v>2.2473081764424002E-2</v>
      </c>
      <c r="L27" s="1455"/>
      <c r="M27" s="1455"/>
      <c r="N27" s="1455"/>
      <c r="O27" s="1468"/>
      <c r="R27" s="259"/>
    </row>
    <row r="28" spans="1:23" x14ac:dyDescent="0.25">
      <c r="A28" s="1467" t="s">
        <v>257</v>
      </c>
      <c r="B28" s="1458"/>
      <c r="C28" s="1458"/>
      <c r="D28" s="1458"/>
      <c r="E28" s="1458"/>
      <c r="F28" s="1459">
        <f>SUM(F29,F30)</f>
        <v>62.775588045580008</v>
      </c>
      <c r="G28" s="1460"/>
      <c r="H28" s="1460"/>
      <c r="I28" s="1460"/>
      <c r="J28" s="1461"/>
      <c r="K28" s="1462">
        <f t="shared" si="0"/>
        <v>0.43862852437835947</v>
      </c>
      <c r="L28" s="1463"/>
      <c r="M28" s="1463"/>
      <c r="N28" s="1463"/>
      <c r="O28" s="1508"/>
    </row>
    <row r="29" spans="1:23" ht="15" customHeight="1" x14ac:dyDescent="0.25">
      <c r="A29" s="1469" t="s">
        <v>258</v>
      </c>
      <c r="B29" s="1435"/>
      <c r="C29" s="1435"/>
      <c r="D29" s="1435"/>
      <c r="E29" s="1435"/>
      <c r="F29" s="1436">
        <v>29.397449135150001</v>
      </c>
      <c r="G29" s="1437"/>
      <c r="H29" s="1437"/>
      <c r="I29" s="1437"/>
      <c r="J29" s="1438"/>
      <c r="K29" s="1454">
        <f t="shared" si="0"/>
        <v>0.2054072313154002</v>
      </c>
      <c r="L29" s="1455"/>
      <c r="M29" s="1455"/>
      <c r="N29" s="1455"/>
      <c r="O29" s="1468"/>
    </row>
    <row r="30" spans="1:23" x14ac:dyDescent="0.25">
      <c r="A30" s="1469" t="s">
        <v>47</v>
      </c>
      <c r="B30" s="1435"/>
      <c r="C30" s="1435"/>
      <c r="D30" s="1435"/>
      <c r="E30" s="1435"/>
      <c r="F30" s="1436">
        <v>33.378138910430003</v>
      </c>
      <c r="G30" s="1437"/>
      <c r="H30" s="1437"/>
      <c r="I30" s="1437"/>
      <c r="J30" s="1438"/>
      <c r="K30" s="1454">
        <f t="shared" si="0"/>
        <v>0.23322129306295922</v>
      </c>
      <c r="L30" s="1455"/>
      <c r="M30" s="1455"/>
      <c r="N30" s="1455"/>
      <c r="O30" s="1468"/>
    </row>
    <row r="31" spans="1:23" x14ac:dyDescent="0.25">
      <c r="A31" s="1503" t="s">
        <v>241</v>
      </c>
      <c r="B31" s="1504"/>
      <c r="C31" s="1504"/>
      <c r="D31" s="1504"/>
      <c r="E31" s="1504"/>
      <c r="F31" s="1473">
        <f>SUM(F28+F17+F15)</f>
        <v>143.11788804558</v>
      </c>
      <c r="G31" s="1474"/>
      <c r="H31" s="1474"/>
      <c r="I31" s="1474"/>
      <c r="J31" s="1475"/>
      <c r="K31" s="1505">
        <f t="shared" si="0"/>
        <v>1</v>
      </c>
      <c r="L31" s="1506"/>
      <c r="M31" s="1506"/>
      <c r="N31" s="1506"/>
      <c r="O31" s="1507"/>
    </row>
    <row r="32" spans="1:23" x14ac:dyDescent="0.25">
      <c r="A32" s="1422" t="s">
        <v>259</v>
      </c>
      <c r="B32" s="1422"/>
      <c r="C32" s="1422"/>
      <c r="D32" s="1422"/>
      <c r="E32" s="1422"/>
      <c r="F32" s="1422"/>
      <c r="G32" s="1422"/>
      <c r="H32" s="1422"/>
      <c r="I32" s="1422"/>
      <c r="J32" s="1422"/>
      <c r="K32" s="1422"/>
      <c r="L32" s="1422"/>
      <c r="M32" s="1422"/>
      <c r="N32" s="1422"/>
      <c r="O32" s="1422"/>
    </row>
    <row r="33" spans="1:15" x14ac:dyDescent="0.25">
      <c r="A33" s="32" t="s">
        <v>260</v>
      </c>
      <c r="B33" s="32"/>
      <c r="C33" s="32"/>
      <c r="D33" s="32"/>
      <c r="E33" s="32"/>
      <c r="F33" s="32"/>
      <c r="G33" s="32"/>
      <c r="H33" s="32"/>
      <c r="I33" s="32"/>
      <c r="J33" s="32"/>
      <c r="K33" s="32"/>
      <c r="L33" s="32"/>
      <c r="M33" s="32"/>
      <c r="N33" s="32"/>
      <c r="O33" s="32"/>
    </row>
    <row r="34" spans="1:15" x14ac:dyDescent="0.25">
      <c r="A34" s="26"/>
      <c r="B34" s="26"/>
      <c r="C34" s="26"/>
      <c r="D34" s="26"/>
      <c r="E34" s="26"/>
      <c r="F34" s="26"/>
      <c r="G34" s="26"/>
      <c r="H34" s="26"/>
      <c r="I34" s="26"/>
      <c r="J34" s="26"/>
      <c r="K34" s="26"/>
      <c r="L34" s="26"/>
      <c r="M34" s="26"/>
      <c r="N34" s="26"/>
      <c r="O34" s="26"/>
    </row>
    <row r="35" spans="1:15" ht="38.25" customHeight="1" x14ac:dyDescent="0.25">
      <c r="A35" s="1420" t="s">
        <v>261</v>
      </c>
      <c r="B35" s="1420"/>
      <c r="C35" s="1420"/>
      <c r="D35" s="1420"/>
      <c r="E35" s="1420"/>
      <c r="F35" s="1420"/>
      <c r="G35" s="1420"/>
      <c r="H35" s="1420"/>
      <c r="I35" s="1420"/>
      <c r="J35" s="1420"/>
      <c r="K35" s="1420"/>
      <c r="L35" s="1420"/>
      <c r="M35" s="1420"/>
      <c r="N35" s="1420"/>
      <c r="O35" s="1420"/>
    </row>
    <row r="36" spans="1:15" ht="149.25" customHeight="1" x14ac:dyDescent="0.25">
      <c r="A36" s="1421" t="s">
        <v>262</v>
      </c>
      <c r="B36" s="1421"/>
      <c r="C36" s="1421"/>
      <c r="D36" s="1421"/>
      <c r="E36" s="1421"/>
      <c r="F36" s="1421"/>
      <c r="G36" s="1421"/>
      <c r="H36" s="1421"/>
      <c r="I36" s="1421"/>
      <c r="J36" s="1421"/>
      <c r="K36" s="1421"/>
      <c r="L36" s="1421"/>
      <c r="M36" s="1421"/>
      <c r="N36" s="1421"/>
      <c r="O36" s="1421"/>
    </row>
    <row r="37" spans="1:15" ht="36.75" customHeight="1" x14ac:dyDescent="0.25">
      <c r="A37" s="1420" t="s">
        <v>263</v>
      </c>
      <c r="B37" s="1420"/>
      <c r="C37" s="1420"/>
      <c r="D37" s="1420"/>
      <c r="E37" s="1420"/>
      <c r="F37" s="1420"/>
      <c r="G37" s="1420"/>
      <c r="H37" s="1420"/>
      <c r="I37" s="1420"/>
      <c r="J37" s="1420"/>
      <c r="K37" s="1420"/>
      <c r="L37" s="1420"/>
      <c r="M37" s="1420"/>
      <c r="N37" s="1420"/>
      <c r="O37" s="1420"/>
    </row>
    <row r="38" spans="1:15" ht="206.25" customHeight="1" x14ac:dyDescent="0.25">
      <c r="A38" s="1421" t="s">
        <v>264</v>
      </c>
      <c r="B38" s="1422"/>
      <c r="C38" s="1422"/>
      <c r="D38" s="1422"/>
      <c r="E38" s="1422"/>
      <c r="F38" s="1422"/>
      <c r="G38" s="1422"/>
      <c r="H38" s="1422"/>
      <c r="I38" s="1422"/>
      <c r="J38" s="1422"/>
      <c r="K38" s="1422"/>
      <c r="L38" s="1422"/>
      <c r="M38" s="1422"/>
      <c r="N38" s="1422"/>
      <c r="O38" s="1422"/>
    </row>
    <row r="39" spans="1:15" x14ac:dyDescent="0.25">
      <c r="A39" s="1466" t="s">
        <v>265</v>
      </c>
      <c r="B39" s="1466"/>
      <c r="C39" s="1466"/>
      <c r="D39" s="1466"/>
      <c r="E39" s="1466"/>
      <c r="F39" s="1466"/>
      <c r="G39" s="1466"/>
      <c r="H39" s="1466"/>
      <c r="I39" s="1466"/>
      <c r="J39" s="1466"/>
      <c r="K39" s="1466"/>
      <c r="L39" s="1466"/>
      <c r="M39" s="1466"/>
      <c r="N39" s="1466"/>
      <c r="O39" s="1466"/>
    </row>
    <row r="40" spans="1:15" ht="241.5" customHeight="1" x14ac:dyDescent="0.25">
      <c r="A40" s="375"/>
      <c r="B40" s="375"/>
      <c r="C40" s="375"/>
      <c r="D40" s="375"/>
      <c r="E40" s="375"/>
      <c r="F40" s="375"/>
      <c r="G40" s="375"/>
      <c r="H40" s="375"/>
      <c r="I40" s="375"/>
      <c r="J40" s="375"/>
      <c r="K40" s="375"/>
      <c r="L40" s="375"/>
      <c r="M40" s="375"/>
      <c r="N40" s="375"/>
      <c r="O40" s="375"/>
    </row>
    <row r="41" spans="1:15" x14ac:dyDescent="0.25">
      <c r="A41" s="1466" t="s">
        <v>266</v>
      </c>
      <c r="B41" s="1466"/>
      <c r="C41" s="1466"/>
      <c r="D41" s="1466"/>
      <c r="E41" s="1466"/>
      <c r="F41" s="1466"/>
      <c r="G41" s="1466"/>
      <c r="H41" s="1466"/>
      <c r="I41" s="1466"/>
      <c r="J41" s="1466"/>
      <c r="K41" s="1466"/>
      <c r="L41" s="1466"/>
      <c r="M41" s="1466"/>
      <c r="N41" s="1466"/>
      <c r="O41" s="1466"/>
    </row>
    <row r="42" spans="1:15" ht="241.5" customHeight="1" x14ac:dyDescent="0.25">
      <c r="A42" s="375"/>
      <c r="B42" s="375"/>
      <c r="C42" s="375"/>
      <c r="D42" s="375"/>
      <c r="E42" s="375"/>
      <c r="F42" s="375"/>
      <c r="G42" s="375"/>
      <c r="H42" s="375"/>
      <c r="I42" s="375"/>
      <c r="J42" s="375"/>
      <c r="K42" s="375"/>
      <c r="L42" s="375"/>
      <c r="M42" s="375"/>
      <c r="N42" s="375"/>
      <c r="O42" s="375"/>
    </row>
    <row r="43" spans="1:15" ht="36.75" customHeight="1" x14ac:dyDescent="0.25">
      <c r="A43" s="1420" t="s">
        <v>267</v>
      </c>
      <c r="B43" s="1420"/>
      <c r="C43" s="1420"/>
      <c r="D43" s="1420"/>
      <c r="E43" s="1420"/>
      <c r="F43" s="1420"/>
      <c r="G43" s="1420"/>
      <c r="H43" s="1420"/>
      <c r="I43" s="1420"/>
      <c r="J43" s="1420"/>
      <c r="K43" s="1420"/>
      <c r="L43" s="1420"/>
      <c r="M43" s="1420"/>
      <c r="N43" s="1420"/>
      <c r="O43" s="1420"/>
    </row>
    <row r="44" spans="1:15" ht="155.25" customHeight="1" x14ac:dyDescent="0.25">
      <c r="A44" s="1502" t="s">
        <v>268</v>
      </c>
      <c r="B44" s="1422"/>
      <c r="C44" s="1422"/>
      <c r="D44" s="1422"/>
      <c r="E44" s="1422"/>
      <c r="F44" s="1422"/>
      <c r="G44" s="1422"/>
      <c r="H44" s="1422"/>
      <c r="I44" s="1422"/>
      <c r="J44" s="1422"/>
      <c r="K44" s="1422"/>
      <c r="L44" s="1422"/>
      <c r="M44" s="1422"/>
      <c r="N44" s="1422"/>
      <c r="O44" s="1422"/>
    </row>
    <row r="45" spans="1:15" x14ac:dyDescent="0.25">
      <c r="A45" s="1501" t="s">
        <v>269</v>
      </c>
      <c r="B45" s="1501"/>
      <c r="C45" s="1501"/>
      <c r="D45" s="1501"/>
      <c r="E45" s="1501"/>
      <c r="F45" s="1501"/>
      <c r="G45" s="1501"/>
      <c r="H45" s="1501"/>
      <c r="I45" s="1501"/>
      <c r="J45" s="1501"/>
      <c r="K45" s="1501"/>
      <c r="L45" s="1501"/>
      <c r="M45" s="1501"/>
      <c r="N45" s="1501"/>
      <c r="O45" s="1501"/>
    </row>
    <row r="46" spans="1:15" x14ac:dyDescent="0.25">
      <c r="A46" s="1501" t="s">
        <v>270</v>
      </c>
      <c r="B46" s="1501"/>
      <c r="C46" s="1501"/>
      <c r="D46" s="1501"/>
      <c r="E46" s="1501"/>
      <c r="F46" s="1501"/>
      <c r="G46" s="1501"/>
      <c r="H46" s="1501"/>
      <c r="I46" s="1501"/>
      <c r="J46" s="1501"/>
      <c r="K46" s="1501"/>
      <c r="L46" s="1501"/>
      <c r="M46" s="1501"/>
      <c r="N46" s="1501"/>
      <c r="O46" s="1501"/>
    </row>
    <row r="47" spans="1:15" x14ac:dyDescent="0.25"/>
    <row r="48" spans="1:15" x14ac:dyDescent="0.25"/>
    <row r="49" x14ac:dyDescent="0.25"/>
    <row r="50" x14ac:dyDescent="0.25"/>
    <row r="51" x14ac:dyDescent="0.25"/>
    <row r="52" x14ac:dyDescent="0.25"/>
  </sheetData>
  <sheetProtection algorithmName="SHA-512" hashValue="toWwKnevU6LWloZfsLo51BmvSKj237F/A7xlp8DAhosLcI/iOtjc6bjj+jUxc7iGL/Y/yuhzuSpP6OHFSUSU7A==" saltValue="5WrhuIMH5S3ED0UNkxg70A==" spinCount="100000" sheet="1" objects="1" scenarios="1"/>
  <mergeCells count="97">
    <mergeCell ref="A41:O41"/>
    <mergeCell ref="A39:O39"/>
    <mergeCell ref="A46:O46"/>
    <mergeCell ref="A23:E23"/>
    <mergeCell ref="F23:J23"/>
    <mergeCell ref="K23:O23"/>
    <mergeCell ref="F25:J25"/>
    <mergeCell ref="K25:O25"/>
    <mergeCell ref="A24:E24"/>
    <mergeCell ref="F24:J24"/>
    <mergeCell ref="A45:O45"/>
    <mergeCell ref="A44:O44"/>
    <mergeCell ref="A43:O43"/>
    <mergeCell ref="A31:E31"/>
    <mergeCell ref="K31:O31"/>
    <mergeCell ref="K28:O28"/>
    <mergeCell ref="D6:F6"/>
    <mergeCell ref="M8:O8"/>
    <mergeCell ref="D8:F8"/>
    <mergeCell ref="G8:I8"/>
    <mergeCell ref="J8:L8"/>
    <mergeCell ref="A19:E19"/>
    <mergeCell ref="F19:J19"/>
    <mergeCell ref="K19:O19"/>
    <mergeCell ref="A9:C9"/>
    <mergeCell ref="D9:F9"/>
    <mergeCell ref="G9:I9"/>
    <mergeCell ref="J9:L9"/>
    <mergeCell ref="M9:O9"/>
    <mergeCell ref="A10:C10"/>
    <mergeCell ref="D10:F10"/>
    <mergeCell ref="G10:I10"/>
    <mergeCell ref="J10:L10"/>
    <mergeCell ref="M10:O10"/>
    <mergeCell ref="A13:O13"/>
    <mergeCell ref="F14:J14"/>
    <mergeCell ref="K14:O14"/>
    <mergeCell ref="N2:O2"/>
    <mergeCell ref="A2:M2"/>
    <mergeCell ref="A4:O4"/>
    <mergeCell ref="A18:E18"/>
    <mergeCell ref="F18:J18"/>
    <mergeCell ref="K18:O18"/>
    <mergeCell ref="G6:I6"/>
    <mergeCell ref="J6:L6"/>
    <mergeCell ref="M6:O6"/>
    <mergeCell ref="D7:F7"/>
    <mergeCell ref="G7:I7"/>
    <mergeCell ref="J7:L7"/>
    <mergeCell ref="A8:C8"/>
    <mergeCell ref="A6:C6"/>
    <mergeCell ref="A7:C7"/>
    <mergeCell ref="M7:O7"/>
    <mergeCell ref="A1:O1"/>
    <mergeCell ref="A3:O3"/>
    <mergeCell ref="A12:O12"/>
    <mergeCell ref="A35:O35"/>
    <mergeCell ref="A17:E17"/>
    <mergeCell ref="A16:E16"/>
    <mergeCell ref="A15:E15"/>
    <mergeCell ref="F31:J31"/>
    <mergeCell ref="F17:J17"/>
    <mergeCell ref="F16:J16"/>
    <mergeCell ref="F15:J15"/>
    <mergeCell ref="K15:O15"/>
    <mergeCell ref="F28:J28"/>
    <mergeCell ref="A30:E30"/>
    <mergeCell ref="A29:E29"/>
    <mergeCell ref="A14:E14"/>
    <mergeCell ref="K16:O16"/>
    <mergeCell ref="K17:O17"/>
    <mergeCell ref="A38:O38"/>
    <mergeCell ref="K30:O30"/>
    <mergeCell ref="A37:O37"/>
    <mergeCell ref="A36:O36"/>
    <mergeCell ref="A32:O32"/>
    <mergeCell ref="K20:O20"/>
    <mergeCell ref="A20:E20"/>
    <mergeCell ref="F20:J20"/>
    <mergeCell ref="K24:O24"/>
    <mergeCell ref="A21:E21"/>
    <mergeCell ref="F21:J21"/>
    <mergeCell ref="K21:O21"/>
    <mergeCell ref="A22:E22"/>
    <mergeCell ref="F22:J22"/>
    <mergeCell ref="K22:O22"/>
    <mergeCell ref="A27:E27"/>
    <mergeCell ref="F27:J27"/>
    <mergeCell ref="K27:O27"/>
    <mergeCell ref="A25:E25"/>
    <mergeCell ref="A28:E28"/>
    <mergeCell ref="K29:O29"/>
    <mergeCell ref="F30:J30"/>
    <mergeCell ref="F29:J29"/>
    <mergeCell ref="A26:E26"/>
    <mergeCell ref="F26:J26"/>
    <mergeCell ref="K26:O26"/>
  </mergeCells>
  <phoneticPr fontId="3" type="noConversion"/>
  <hyperlinks>
    <hyperlink ref="A45:O45" location="Klimaregnskab!A1" display="Se beregninger af bankens indirekte og direkte CO2e-udledning" xr:uid="{ACB26B2A-0E95-47B9-A7E1-AD3BA09DFF95}"/>
    <hyperlink ref="A46:O46" location="Kunder!A1" display="Se nøgletal for koncernens kunder" xr:uid="{9536CDA1-305E-4171-9BCD-3A94EC6401B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EF2D5-8C90-40A3-BBF1-63C54BDAE381}">
  <dimension ref="A1"/>
  <sheetViews>
    <sheetView workbookViewId="0">
      <selection activeCell="F7" sqref="F7"/>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5B496-313E-408C-9A70-EBFDF739FC15}">
  <sheetPr>
    <tabColor rgb="FF7990A5"/>
  </sheetPr>
  <dimension ref="A1:F22"/>
  <sheetViews>
    <sheetView zoomScale="115" zoomScaleNormal="115" workbookViewId="0">
      <selection sqref="A1:F1"/>
    </sheetView>
  </sheetViews>
  <sheetFormatPr defaultColWidth="0" defaultRowHeight="15" zeroHeight="1" x14ac:dyDescent="0.25"/>
  <cols>
    <col min="1" max="1" width="55.5703125" customWidth="1"/>
    <col min="2" max="6" width="14" customWidth="1"/>
    <col min="7" max="16384" width="9.140625" hidden="1"/>
  </cols>
  <sheetData>
    <row r="1" spans="1:6" x14ac:dyDescent="0.25">
      <c r="A1" s="1509" t="s">
        <v>6</v>
      </c>
      <c r="B1" s="1509"/>
      <c r="C1" s="1509"/>
      <c r="D1" s="1509"/>
      <c r="E1" s="1509"/>
      <c r="F1" s="1509"/>
    </row>
    <row r="2" spans="1:6" x14ac:dyDescent="0.25">
      <c r="A2" s="751" t="s">
        <v>23</v>
      </c>
      <c r="B2" s="752" t="s">
        <v>22</v>
      </c>
      <c r="C2" s="753">
        <v>2023</v>
      </c>
      <c r="D2" s="753">
        <v>2022</v>
      </c>
      <c r="E2" s="753">
        <v>2021</v>
      </c>
      <c r="F2" s="754">
        <v>2020</v>
      </c>
    </row>
    <row r="3" spans="1:6" ht="24" customHeight="1" x14ac:dyDescent="0.25">
      <c r="A3" s="755" t="s">
        <v>271</v>
      </c>
      <c r="B3" s="756" t="s">
        <v>29</v>
      </c>
      <c r="C3" s="757">
        <v>12.9</v>
      </c>
      <c r="D3" s="757">
        <v>13.4</v>
      </c>
      <c r="E3" s="397">
        <v>12.7</v>
      </c>
      <c r="F3" s="758">
        <v>12.7</v>
      </c>
    </row>
    <row r="4" spans="1:6" ht="24" customHeight="1" x14ac:dyDescent="0.25">
      <c r="A4" s="759" t="s">
        <v>272</v>
      </c>
      <c r="B4" s="760" t="s">
        <v>84</v>
      </c>
      <c r="C4" s="761">
        <v>83</v>
      </c>
      <c r="D4" s="761">
        <v>421</v>
      </c>
      <c r="E4" s="761">
        <v>357</v>
      </c>
      <c r="F4" s="762">
        <v>537</v>
      </c>
    </row>
    <row r="5" spans="1:6" ht="24" customHeight="1" x14ac:dyDescent="0.25">
      <c r="A5" s="763" t="s">
        <v>273</v>
      </c>
      <c r="B5" s="764" t="s">
        <v>31</v>
      </c>
      <c r="C5" s="765">
        <v>27.1</v>
      </c>
      <c r="D5" s="765">
        <v>34.9</v>
      </c>
      <c r="E5" s="765">
        <v>26.3</v>
      </c>
      <c r="F5" s="766">
        <v>20</v>
      </c>
    </row>
    <row r="6" spans="1:6" ht="24" customHeight="1" x14ac:dyDescent="0.25">
      <c r="A6" s="759" t="s">
        <v>274</v>
      </c>
      <c r="B6" s="760" t="s">
        <v>41</v>
      </c>
      <c r="C6" s="761">
        <v>-22</v>
      </c>
      <c r="D6" s="767">
        <v>32.700000000000003</v>
      </c>
      <c r="E6" s="767">
        <v>42</v>
      </c>
      <c r="F6" s="768">
        <v>177</v>
      </c>
    </row>
    <row r="7" spans="1:6" ht="24" customHeight="1" x14ac:dyDescent="0.25">
      <c r="A7" s="763" t="s">
        <v>275</v>
      </c>
      <c r="B7" s="764" t="s">
        <v>84</v>
      </c>
      <c r="C7" s="765">
        <v>138</v>
      </c>
      <c r="D7" s="765">
        <v>67</v>
      </c>
      <c r="E7" s="765">
        <v>37</v>
      </c>
      <c r="F7" s="766">
        <v>85</v>
      </c>
    </row>
    <row r="8" spans="1:6" ht="24" customHeight="1" x14ac:dyDescent="0.25">
      <c r="A8" s="759" t="s">
        <v>32</v>
      </c>
      <c r="B8" s="760" t="s">
        <v>31</v>
      </c>
      <c r="C8" s="761">
        <v>21.1</v>
      </c>
      <c r="D8" s="761">
        <v>9.6</v>
      </c>
      <c r="E8" s="761">
        <v>5.6</v>
      </c>
      <c r="F8" s="762">
        <v>4</v>
      </c>
    </row>
    <row r="9" spans="1:6" ht="24" customHeight="1" x14ac:dyDescent="0.25">
      <c r="A9" s="763" t="s">
        <v>276</v>
      </c>
      <c r="B9" s="764" t="s">
        <v>41</v>
      </c>
      <c r="C9" s="765">
        <v>219</v>
      </c>
      <c r="D9" s="221">
        <v>71.400000000000006</v>
      </c>
      <c r="E9" s="221">
        <v>40</v>
      </c>
      <c r="F9" s="769">
        <v>-21</v>
      </c>
    </row>
    <row r="10" spans="1:6" ht="24" customHeight="1" x14ac:dyDescent="0.25">
      <c r="A10" s="770" t="s">
        <v>277</v>
      </c>
      <c r="B10" s="771" t="s">
        <v>84</v>
      </c>
      <c r="C10" s="772">
        <v>3</v>
      </c>
      <c r="D10" s="772">
        <v>4</v>
      </c>
      <c r="E10" s="772">
        <v>12</v>
      </c>
      <c r="F10" s="773">
        <v>12</v>
      </c>
    </row>
    <row r="11" spans="1:6" ht="24" customHeight="1" x14ac:dyDescent="0.25">
      <c r="A11" s="763" t="s">
        <v>33</v>
      </c>
      <c r="B11" s="764" t="s">
        <v>31</v>
      </c>
      <c r="C11" s="765">
        <v>12.8</v>
      </c>
      <c r="D11" s="765">
        <v>12.8</v>
      </c>
      <c r="E11" s="765">
        <v>15.3</v>
      </c>
      <c r="F11" s="774">
        <v>13.8</v>
      </c>
    </row>
    <row r="12" spans="1:6" ht="24" customHeight="1" x14ac:dyDescent="0.25">
      <c r="A12" s="759" t="s">
        <v>278</v>
      </c>
      <c r="B12" s="760" t="s">
        <v>41</v>
      </c>
      <c r="C12" s="761">
        <v>0</v>
      </c>
      <c r="D12" s="767">
        <v>-16.3</v>
      </c>
      <c r="E12" s="767">
        <v>11</v>
      </c>
      <c r="F12" s="768">
        <v>-16</v>
      </c>
    </row>
    <row r="13" spans="1:6" ht="24" customHeight="1" x14ac:dyDescent="0.25">
      <c r="A13" s="32" t="s">
        <v>34</v>
      </c>
      <c r="B13" s="181" t="s">
        <v>31</v>
      </c>
      <c r="C13" s="225">
        <v>1354</v>
      </c>
      <c r="D13" s="225">
        <v>1331</v>
      </c>
      <c r="E13" s="225">
        <v>1135</v>
      </c>
      <c r="F13" s="379">
        <v>1204.0999999999999</v>
      </c>
    </row>
    <row r="14" spans="1:6" ht="24" customHeight="1" x14ac:dyDescent="0.25">
      <c r="A14" s="775" t="s">
        <v>279</v>
      </c>
      <c r="B14" s="776" t="s">
        <v>31</v>
      </c>
      <c r="C14" s="777">
        <v>25.5</v>
      </c>
      <c r="D14" s="777">
        <v>25.6</v>
      </c>
      <c r="E14" s="777">
        <v>24.7</v>
      </c>
      <c r="F14" s="778">
        <v>66</v>
      </c>
    </row>
    <row r="15" spans="1:6" ht="24" customHeight="1" x14ac:dyDescent="0.25">
      <c r="A15" s="779" t="s">
        <v>280</v>
      </c>
      <c r="B15" s="780" t="s">
        <v>31</v>
      </c>
      <c r="C15" s="781">
        <v>96</v>
      </c>
      <c r="D15" s="781">
        <v>81</v>
      </c>
      <c r="E15" s="781">
        <v>81</v>
      </c>
      <c r="F15" s="399">
        <v>78</v>
      </c>
    </row>
    <row r="16" spans="1:6" x14ac:dyDescent="0.25">
      <c r="A16" s="782" t="s">
        <v>24</v>
      </c>
      <c r="B16" s="752" t="s">
        <v>22</v>
      </c>
      <c r="C16" s="753">
        <v>2023</v>
      </c>
      <c r="D16" s="753">
        <v>2022</v>
      </c>
      <c r="E16" s="753">
        <v>2021</v>
      </c>
      <c r="F16" s="754">
        <v>2020</v>
      </c>
    </row>
    <row r="17" spans="1:6" ht="24" customHeight="1" x14ac:dyDescent="0.25">
      <c r="A17" s="783" t="s">
        <v>271</v>
      </c>
      <c r="B17" s="756" t="s">
        <v>29</v>
      </c>
      <c r="C17" s="1183">
        <v>4.0593259835467599</v>
      </c>
      <c r="D17" s="1183">
        <f>3517.95170435489/1000</f>
        <v>3.51795170435489</v>
      </c>
      <c r="E17" s="757"/>
      <c r="F17" s="784"/>
    </row>
    <row r="18" spans="1:6" ht="24" customHeight="1" x14ac:dyDescent="0.25">
      <c r="A18" s="785" t="s">
        <v>280</v>
      </c>
      <c r="B18" s="786" t="s">
        <v>31</v>
      </c>
      <c r="C18" s="787">
        <v>56.5</v>
      </c>
      <c r="D18" s="787">
        <v>58.2</v>
      </c>
      <c r="E18" s="788"/>
      <c r="F18" s="789"/>
    </row>
    <row r="19" spans="1:6" x14ac:dyDescent="0.25">
      <c r="A19" s="1"/>
      <c r="B19" s="1"/>
      <c r="C19" s="1"/>
      <c r="D19" s="1"/>
      <c r="E19" s="1"/>
      <c r="F19" s="1"/>
    </row>
    <row r="20" spans="1:6" x14ac:dyDescent="0.25">
      <c r="A20" s="790" t="s">
        <v>281</v>
      </c>
      <c r="B20" s="18"/>
      <c r="C20" s="18"/>
      <c r="D20" s="18"/>
      <c r="E20" s="18"/>
      <c r="F20" s="18"/>
    </row>
    <row r="21" spans="1:6" ht="15" customHeight="1" x14ac:dyDescent="0.25">
      <c r="A21" s="880" t="s">
        <v>282</v>
      </c>
      <c r="B21" s="18"/>
      <c r="C21" s="18"/>
      <c r="D21" s="18"/>
      <c r="E21" s="18"/>
      <c r="F21" s="18"/>
    </row>
    <row r="22" spans="1:6" ht="15" customHeight="1" x14ac:dyDescent="0.25">
      <c r="A22" s="880" t="s">
        <v>283</v>
      </c>
      <c r="B22" s="18"/>
      <c r="C22" s="18"/>
      <c r="D22" s="18"/>
      <c r="E22" s="18"/>
      <c r="F22" s="18"/>
    </row>
  </sheetData>
  <sheetProtection algorithmName="SHA-512" hashValue="RO5KFK6Zj/ivy2kCRHk7cjMkUjk7hYeGJJBqFqI6M37Gf/ZeeIaPSR4erIb5K1VIfAQQak4fsvQlaGm8FG/QnA==" saltValue="olU3eEwnE9AjaDDxyDqXvg==" spinCount="100000" sheet="1" objects="1" scenarios="1"/>
  <mergeCells count="1">
    <mergeCell ref="A1:F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D2F02-4663-4E2F-86B3-5E78887E6682}">
  <sheetPr>
    <tabColor rgb="FF7990A5"/>
  </sheetPr>
  <dimension ref="A1:H11"/>
  <sheetViews>
    <sheetView zoomScale="115" zoomScaleNormal="115" workbookViewId="0">
      <selection sqref="A1:H1"/>
    </sheetView>
  </sheetViews>
  <sheetFormatPr defaultColWidth="0" defaultRowHeight="15" zeroHeight="1" x14ac:dyDescent="0.25"/>
  <cols>
    <col min="1" max="1" width="46.7109375" customWidth="1"/>
    <col min="2" max="3" width="12" customWidth="1"/>
    <col min="4" max="4" width="12" hidden="1" customWidth="1"/>
    <col min="5" max="8" width="12" customWidth="1"/>
    <col min="9" max="16384" width="9.140625" hidden="1"/>
  </cols>
  <sheetData>
    <row r="1" spans="1:8" x14ac:dyDescent="0.25">
      <c r="A1" s="1510" t="s">
        <v>7</v>
      </c>
      <c r="B1" s="1510"/>
      <c r="C1" s="1510"/>
      <c r="D1" s="1510"/>
      <c r="E1" s="1510"/>
      <c r="F1" s="1510"/>
      <c r="G1" s="1510"/>
      <c r="H1" s="1510"/>
    </row>
    <row r="2" spans="1:8" x14ac:dyDescent="0.25">
      <c r="A2" s="791" t="s">
        <v>23</v>
      </c>
      <c r="B2" s="792" t="s">
        <v>22</v>
      </c>
      <c r="C2" s="793" t="s">
        <v>284</v>
      </c>
      <c r="D2" s="792" t="s">
        <v>285</v>
      </c>
      <c r="E2" s="794">
        <v>2023</v>
      </c>
      <c r="F2" s="794">
        <v>2022</v>
      </c>
      <c r="G2" s="795">
        <v>2021</v>
      </c>
      <c r="H2" s="791">
        <v>2020</v>
      </c>
    </row>
    <row r="3" spans="1:8" ht="33" customHeight="1" x14ac:dyDescent="0.25">
      <c r="A3" s="796" t="s">
        <v>286</v>
      </c>
      <c r="B3" s="797" t="s">
        <v>31</v>
      </c>
      <c r="C3" s="798"/>
      <c r="D3" s="797"/>
      <c r="E3" s="1185">
        <v>47.858390190000001</v>
      </c>
      <c r="F3" s="799">
        <v>44.8</v>
      </c>
      <c r="G3" s="800">
        <v>56.2</v>
      </c>
      <c r="H3" s="801">
        <v>78.271882000000005</v>
      </c>
    </row>
    <row r="4" spans="1:8" x14ac:dyDescent="0.25">
      <c r="A4" s="802" t="s">
        <v>25</v>
      </c>
      <c r="B4" s="803" t="s">
        <v>22</v>
      </c>
      <c r="C4" s="803" t="s">
        <v>284</v>
      </c>
      <c r="D4" s="803" t="s">
        <v>285</v>
      </c>
      <c r="E4" s="804">
        <v>2023</v>
      </c>
      <c r="F4" s="804">
        <v>2022</v>
      </c>
      <c r="G4" s="805">
        <v>2021</v>
      </c>
      <c r="H4" s="806">
        <v>2020</v>
      </c>
    </row>
    <row r="5" spans="1:8" ht="33" customHeight="1" x14ac:dyDescent="0.25">
      <c r="A5" s="477" t="s">
        <v>38</v>
      </c>
      <c r="B5" s="558" t="s">
        <v>31</v>
      </c>
      <c r="C5" s="927">
        <v>6842</v>
      </c>
      <c r="D5" s="878">
        <v>5746</v>
      </c>
      <c r="E5" s="807">
        <v>6471</v>
      </c>
      <c r="F5" s="807">
        <v>6154</v>
      </c>
      <c r="G5" s="808">
        <v>5362</v>
      </c>
      <c r="H5" s="809">
        <v>4693</v>
      </c>
    </row>
    <row r="6" spans="1:8" ht="33" customHeight="1" x14ac:dyDescent="0.25">
      <c r="A6" s="810" t="s">
        <v>40</v>
      </c>
      <c r="B6" s="811" t="s">
        <v>41</v>
      </c>
      <c r="C6" s="928">
        <v>46</v>
      </c>
      <c r="D6" s="811">
        <v>44</v>
      </c>
      <c r="E6" s="812">
        <v>44</v>
      </c>
      <c r="F6" s="812">
        <v>40</v>
      </c>
      <c r="G6" s="813">
        <v>30</v>
      </c>
      <c r="H6" s="814">
        <v>14</v>
      </c>
    </row>
    <row r="7" spans="1:8" ht="33" customHeight="1" x14ac:dyDescent="0.25">
      <c r="A7" s="477" t="s">
        <v>287</v>
      </c>
      <c r="B7" s="558" t="s">
        <v>84</v>
      </c>
      <c r="C7" s="927">
        <v>12257</v>
      </c>
      <c r="D7" s="878">
        <v>9956</v>
      </c>
      <c r="E7" s="807">
        <v>11177</v>
      </c>
      <c r="F7" s="807">
        <v>9041</v>
      </c>
      <c r="G7" s="808">
        <v>5828</v>
      </c>
      <c r="H7" s="809">
        <v>2198</v>
      </c>
    </row>
    <row r="8" spans="1:8" ht="33" customHeight="1" x14ac:dyDescent="0.25">
      <c r="A8" s="810" t="s">
        <v>288</v>
      </c>
      <c r="B8" s="811" t="s">
        <v>31</v>
      </c>
      <c r="C8" s="928">
        <v>3123</v>
      </c>
      <c r="D8" s="879">
        <v>2527</v>
      </c>
      <c r="E8" s="815">
        <v>2870</v>
      </c>
      <c r="F8" s="815">
        <v>2463</v>
      </c>
      <c r="G8" s="816">
        <v>1586</v>
      </c>
      <c r="H8" s="814">
        <v>637</v>
      </c>
    </row>
    <row r="9" spans="1:8" ht="33" customHeight="1" x14ac:dyDescent="0.25">
      <c r="A9" s="479" t="s">
        <v>289</v>
      </c>
      <c r="B9" s="309" t="s">
        <v>41</v>
      </c>
      <c r="C9" s="929">
        <v>27</v>
      </c>
      <c r="D9" s="309">
        <v>3</v>
      </c>
      <c r="E9" s="817">
        <v>17</v>
      </c>
      <c r="F9" s="817">
        <v>55</v>
      </c>
      <c r="G9" s="818">
        <v>149</v>
      </c>
      <c r="H9" s="819">
        <v>957</v>
      </c>
    </row>
    <row r="10" spans="1:8" x14ac:dyDescent="0.25">
      <c r="A10" s="820" t="s">
        <v>24</v>
      </c>
      <c r="B10" s="821" t="s">
        <v>22</v>
      </c>
      <c r="C10" s="793" t="s">
        <v>284</v>
      </c>
      <c r="D10" s="821" t="s">
        <v>285</v>
      </c>
      <c r="E10" s="822">
        <v>2023</v>
      </c>
      <c r="F10" s="822">
        <v>2022</v>
      </c>
      <c r="G10" s="823">
        <v>2021</v>
      </c>
      <c r="H10" s="824">
        <v>2020</v>
      </c>
    </row>
    <row r="11" spans="1:8" ht="33" customHeight="1" x14ac:dyDescent="0.25">
      <c r="A11" s="796" t="s">
        <v>38</v>
      </c>
      <c r="B11" s="797" t="s">
        <v>31</v>
      </c>
      <c r="C11" s="798"/>
      <c r="D11" s="797"/>
      <c r="E11" s="1186">
        <v>902.54724467000005</v>
      </c>
      <c r="F11" s="799">
        <v>855</v>
      </c>
      <c r="G11" s="800"/>
      <c r="H11" s="825"/>
    </row>
  </sheetData>
  <sheetProtection algorithmName="SHA-512" hashValue="CgaqOE1myZoIK9kOx6eOMsPIBHK5RIpf3XL78uNZ4gebnT2emJHMy5cnoTCSjvpaVvL/Xy/MQYDKeOy9Wx7Csg==" saltValue="wC8T5hmPdiEtWS1IVbpNsw==" spinCount="100000" sheet="1" objects="1" scenarios="1"/>
  <mergeCells count="1">
    <mergeCell ref="A1:H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2E259-05F3-445E-8B2D-A4257C24499E}">
  <sheetPr>
    <tabColor rgb="FF7990A5"/>
  </sheetPr>
  <dimension ref="A1:H16"/>
  <sheetViews>
    <sheetView zoomScale="115" zoomScaleNormal="115" workbookViewId="0">
      <selection sqref="A1:H1"/>
    </sheetView>
  </sheetViews>
  <sheetFormatPr defaultColWidth="0" defaultRowHeight="15" zeroHeight="1" x14ac:dyDescent="0.25"/>
  <cols>
    <col min="1" max="1" width="59" customWidth="1"/>
    <col min="2" max="3" width="11.5703125" customWidth="1"/>
    <col min="4" max="4" width="11.5703125" hidden="1" customWidth="1"/>
    <col min="5" max="8" width="11.5703125" customWidth="1"/>
    <col min="9" max="16384" width="9.140625" hidden="1"/>
  </cols>
  <sheetData>
    <row r="1" spans="1:8" ht="15.75" thickBot="1" x14ac:dyDescent="0.3">
      <c r="A1" s="1511" t="s">
        <v>290</v>
      </c>
      <c r="B1" s="1512"/>
      <c r="C1" s="1512"/>
      <c r="D1" s="1512"/>
      <c r="E1" s="1512"/>
      <c r="F1" s="1512"/>
      <c r="G1" s="1512"/>
      <c r="H1" s="1513"/>
    </row>
    <row r="2" spans="1:8" ht="15.75" thickBot="1" x14ac:dyDescent="0.3">
      <c r="A2" s="826" t="s">
        <v>23</v>
      </c>
      <c r="B2" s="827" t="s">
        <v>22</v>
      </c>
      <c r="C2" s="827" t="s">
        <v>284</v>
      </c>
      <c r="D2" s="827" t="s">
        <v>285</v>
      </c>
      <c r="E2" s="828">
        <v>2023</v>
      </c>
      <c r="F2" s="828">
        <v>2022</v>
      </c>
      <c r="G2" s="828">
        <v>2021</v>
      </c>
      <c r="H2" s="829">
        <v>2020</v>
      </c>
    </row>
    <row r="3" spans="1:8" ht="43.5" customHeight="1" x14ac:dyDescent="0.25">
      <c r="A3" s="830" t="s">
        <v>291</v>
      </c>
      <c r="B3" s="831" t="s">
        <v>29</v>
      </c>
      <c r="C3" s="1403"/>
      <c r="D3" s="832">
        <v>25</v>
      </c>
      <c r="E3" s="833">
        <v>25.2</v>
      </c>
      <c r="F3" s="833">
        <v>24.7</v>
      </c>
      <c r="G3" s="834">
        <v>27.3</v>
      </c>
      <c r="H3" s="862">
        <v>22.9</v>
      </c>
    </row>
    <row r="4" spans="1:8" ht="43.5" customHeight="1" x14ac:dyDescent="0.25">
      <c r="A4" s="835" t="s">
        <v>292</v>
      </c>
      <c r="B4" s="836" t="s">
        <v>41</v>
      </c>
      <c r="C4" s="771"/>
      <c r="D4" s="771">
        <v>81</v>
      </c>
      <c r="E4" s="772">
        <v>76.400000000000006</v>
      </c>
      <c r="F4" s="772">
        <v>75</v>
      </c>
      <c r="G4" s="837">
        <v>60</v>
      </c>
      <c r="H4" s="848">
        <v>51</v>
      </c>
    </row>
    <row r="5" spans="1:8" ht="43.5" customHeight="1" x14ac:dyDescent="0.25">
      <c r="A5" s="783" t="s">
        <v>45</v>
      </c>
      <c r="B5" s="179" t="s">
        <v>29</v>
      </c>
      <c r="C5" s="181"/>
      <c r="D5" s="181">
        <v>18</v>
      </c>
      <c r="E5" s="838">
        <v>17.2</v>
      </c>
      <c r="F5" s="838">
        <v>16.3</v>
      </c>
      <c r="G5" s="132">
        <v>15</v>
      </c>
      <c r="H5" s="850"/>
    </row>
    <row r="6" spans="1:8" ht="43.5" customHeight="1" x14ac:dyDescent="0.25">
      <c r="A6" s="839" t="s">
        <v>293</v>
      </c>
      <c r="B6" s="840" t="s">
        <v>41</v>
      </c>
      <c r="C6" s="1404"/>
      <c r="D6" s="771">
        <v>72</v>
      </c>
      <c r="E6" s="772">
        <v>68.5</v>
      </c>
      <c r="F6" s="772">
        <v>66</v>
      </c>
      <c r="G6" s="837">
        <v>55</v>
      </c>
      <c r="H6" s="863"/>
    </row>
    <row r="7" spans="1:8" ht="43.5" customHeight="1" x14ac:dyDescent="0.25">
      <c r="A7" s="783" t="s">
        <v>294</v>
      </c>
      <c r="B7" s="841" t="s">
        <v>29</v>
      </c>
      <c r="C7" s="1405"/>
      <c r="D7" s="181">
        <v>4.0999999999999996</v>
      </c>
      <c r="E7" s="838">
        <v>3.1</v>
      </c>
      <c r="F7" s="838">
        <v>4.0999999999999996</v>
      </c>
      <c r="G7" s="132">
        <v>5.6</v>
      </c>
      <c r="H7" s="850"/>
    </row>
    <row r="8" spans="1:8" ht="15.75" thickBot="1" x14ac:dyDescent="0.3">
      <c r="A8" s="842" t="s">
        <v>24</v>
      </c>
      <c r="B8" s="827" t="s">
        <v>22</v>
      </c>
      <c r="C8" s="827" t="s">
        <v>284</v>
      </c>
      <c r="D8" s="827" t="s">
        <v>285</v>
      </c>
      <c r="E8" s="828">
        <v>2023</v>
      </c>
      <c r="F8" s="828">
        <v>2022</v>
      </c>
      <c r="G8" s="828">
        <v>2021</v>
      </c>
      <c r="H8" s="864">
        <v>2020</v>
      </c>
    </row>
    <row r="9" spans="1:8" ht="43.5" customHeight="1" x14ac:dyDescent="0.25">
      <c r="A9" s="830" t="s">
        <v>291</v>
      </c>
      <c r="B9" s="831" t="s">
        <v>29</v>
      </c>
      <c r="C9" s="881">
        <v>12.8</v>
      </c>
      <c r="D9" s="843">
        <v>12.51</v>
      </c>
      <c r="E9" s="844">
        <v>12.8</v>
      </c>
      <c r="F9" s="844">
        <v>12.69</v>
      </c>
      <c r="G9" s="845"/>
      <c r="H9" s="845"/>
    </row>
    <row r="10" spans="1:8" ht="43.5" customHeight="1" x14ac:dyDescent="0.25">
      <c r="A10" s="835" t="s">
        <v>292</v>
      </c>
      <c r="B10" s="836" t="s">
        <v>41</v>
      </c>
      <c r="C10" s="882">
        <v>94.8</v>
      </c>
      <c r="D10" s="846">
        <v>94.8</v>
      </c>
      <c r="E10" s="847">
        <v>91.5</v>
      </c>
      <c r="F10" s="847">
        <v>95.2</v>
      </c>
      <c r="G10" s="848"/>
      <c r="H10" s="848"/>
    </row>
    <row r="11" spans="1:8" ht="43.5" customHeight="1" x14ac:dyDescent="0.25">
      <c r="A11" s="783" t="s">
        <v>45</v>
      </c>
      <c r="B11" s="179" t="s">
        <v>29</v>
      </c>
      <c r="C11" s="938">
        <v>12</v>
      </c>
      <c r="D11" s="849">
        <v>11.86</v>
      </c>
      <c r="E11" s="408">
        <v>11.7</v>
      </c>
      <c r="F11" s="408">
        <v>12.08</v>
      </c>
      <c r="G11" s="850"/>
      <c r="H11" s="850"/>
    </row>
    <row r="12" spans="1:8" ht="43.5" customHeight="1" x14ac:dyDescent="0.25">
      <c r="A12" s="839" t="s">
        <v>293</v>
      </c>
      <c r="B12" s="840" t="s">
        <v>41</v>
      </c>
      <c r="C12" s="883">
        <v>94.8</v>
      </c>
      <c r="D12" s="846">
        <v>94.8</v>
      </c>
      <c r="E12" s="847">
        <v>91.5</v>
      </c>
      <c r="F12" s="847">
        <v>95.2</v>
      </c>
      <c r="G12" s="848"/>
      <c r="H12" s="848"/>
    </row>
    <row r="13" spans="1:8" ht="43.5" customHeight="1" x14ac:dyDescent="0.25">
      <c r="A13" s="851" t="s">
        <v>294</v>
      </c>
      <c r="B13" s="852" t="s">
        <v>29</v>
      </c>
      <c r="C13" s="884">
        <v>0.1</v>
      </c>
      <c r="D13" s="853">
        <v>0.2</v>
      </c>
      <c r="E13" s="854">
        <v>0.1</v>
      </c>
      <c r="F13" s="854">
        <v>0.2</v>
      </c>
      <c r="G13" s="855"/>
      <c r="H13" s="855"/>
    </row>
    <row r="14" spans="1:8" x14ac:dyDescent="0.25">
      <c r="A14" s="755"/>
      <c r="B14" s="856"/>
      <c r="C14" s="856"/>
      <c r="D14" s="1401"/>
      <c r="E14" s="1401"/>
      <c r="F14" s="1402"/>
      <c r="G14" s="132"/>
      <c r="H14" s="132"/>
    </row>
    <row r="15" spans="1:8" x14ac:dyDescent="0.25">
      <c r="A15" s="857" t="s">
        <v>295</v>
      </c>
      <c r="B15" s="858"/>
      <c r="C15" s="858"/>
      <c r="D15" s="859"/>
      <c r="E15" s="859"/>
      <c r="F15" s="860"/>
      <c r="G15" s="861"/>
      <c r="H15" s="861"/>
    </row>
    <row r="16" spans="1:8" ht="239.25" customHeight="1" x14ac:dyDescent="0.25">
      <c r="A16" s="1514" t="s">
        <v>296</v>
      </c>
      <c r="B16" s="1515"/>
      <c r="C16" s="1515"/>
      <c r="D16" s="1515"/>
      <c r="E16" s="1515"/>
      <c r="F16" s="1515"/>
      <c r="G16" s="1515"/>
      <c r="H16" s="1515"/>
    </row>
  </sheetData>
  <sheetProtection algorithmName="SHA-512" hashValue="g0u8o6hQt2UIp+osHVrgISMJACu+VPo83jD/Esj4TfQ8ozTkp3Fn6Z8ydC8xb3D/0rIvrqQNh7+2T7YGEI6pmg==" saltValue="3Urww3mn3P6IOw0Nd8Wbqg==" spinCount="100000" sheet="1" objects="1" scenarios="1"/>
  <mergeCells count="2">
    <mergeCell ref="A1:H1"/>
    <mergeCell ref="A16:H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2F476470AC54C47BEAB11F7FA950027" ma:contentTypeVersion="14" ma:contentTypeDescription="Opret et nyt dokument." ma:contentTypeScope="" ma:versionID="13d913a8e1dda3ecd8d1eb5f94e55929">
  <xsd:schema xmlns:xsd="http://www.w3.org/2001/XMLSchema" xmlns:xs="http://www.w3.org/2001/XMLSchema" xmlns:p="http://schemas.microsoft.com/office/2006/metadata/properties" xmlns:ns1="http://schemas.microsoft.com/sharepoint/v3" xmlns:ns2="6e6173e8-662d-41b6-8505-12a0c2c2b0ba" xmlns:ns3="34e613ec-6b0b-4d51-a952-b77326852c1e" targetNamespace="http://schemas.microsoft.com/office/2006/metadata/properties" ma:root="true" ma:fieldsID="fc2cc05b87de311dd573271286f57145" ns1:_="" ns2:_="" ns3:_="">
    <xsd:import namespace="http://schemas.microsoft.com/sharepoint/v3"/>
    <xsd:import namespace="6e6173e8-662d-41b6-8505-12a0c2c2b0ba"/>
    <xsd:import namespace="34e613ec-6b0b-4d51-a952-b77326852c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Egenskaber for Unified Compliance Policy" ma:hidden="true" ma:internalName="_ip_UnifiedCompliancePolicyProperties">
      <xsd:simpleType>
        <xsd:restriction base="dms:Note"/>
      </xsd:simpleType>
    </xsd:element>
    <xsd:element name="_ip_UnifiedCompliancePolicyUIAction" ma:index="13"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6173e8-662d-41b6-8505-12a0c2c2b0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Billedmærker" ma:readOnly="false" ma:fieldId="{5cf76f15-5ced-4ddc-b409-7134ff3c332f}" ma:taxonomyMulti="true" ma:sspId="760a7b55-7bb7-4645-ba6c-08c9f20456d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e613ec-6b0b-4d51-a952-b77326852c1e"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TaxCatchAll" ma:index="16" nillable="true" ma:displayName="Taxonomy Catch All Column" ma:hidden="true" ma:list="{81c81064-31ef-46b1-9464-df16087c82bf}" ma:internalName="TaxCatchAll" ma:showField="CatchAllData" ma:web="34e613ec-6b0b-4d51-a952-b77326852c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34e613ec-6b0b-4d51-a952-b77326852c1e">
      <UserInfo>
        <DisplayName>Rasmus Dilling-Hansen</DisplayName>
        <AccountId>62</AccountId>
        <AccountType/>
      </UserInfo>
      <UserInfo>
        <DisplayName>Kim Højbjerg Hansen</DisplayName>
        <AccountId>38</AccountId>
        <AccountType/>
      </UserInfo>
      <UserInfo>
        <DisplayName>Jørgen Wolf Laugesen</DisplayName>
        <AccountId>33</AccountId>
        <AccountType/>
      </UserInfo>
      <UserInfo>
        <DisplayName>Steen Nilsson</DisplayName>
        <AccountId>57</AccountId>
        <AccountType/>
      </UserInfo>
      <UserInfo>
        <DisplayName>Sofie Ernst</DisplayName>
        <AccountId>125</AccountId>
        <AccountType/>
      </UserInfo>
      <UserInfo>
        <DisplayName>Tina Kongensgaard</DisplayName>
        <AccountId>158</AccountId>
        <AccountType/>
      </UserInfo>
      <UserInfo>
        <DisplayName>Thomas S. Larsen</DisplayName>
        <AccountId>56</AccountId>
        <AccountType/>
      </UserInfo>
      <UserInfo>
        <DisplayName>Jens Wium-Andersen</DisplayName>
        <AccountId>83</AccountId>
        <AccountType/>
      </UserInfo>
      <UserInfo>
        <DisplayName>Henrik Nielsen Degn</DisplayName>
        <AccountId>89</AccountId>
        <AccountType/>
      </UserInfo>
      <UserInfo>
        <DisplayName>Lee Schmidt Weinreich</DisplayName>
        <AccountId>118</AccountId>
        <AccountType/>
      </UserInfo>
    </SharedWithUsers>
    <TaxCatchAll xmlns="34e613ec-6b0b-4d51-a952-b77326852c1e" xsi:nil="true"/>
    <lcf76f155ced4ddcb4097134ff3c332f xmlns="6e6173e8-662d-41b6-8505-12a0c2c2b0ba">
      <Terms xmlns="http://schemas.microsoft.com/office/infopath/2007/PartnerControls"/>
    </lcf76f155ced4ddcb4097134ff3c332f>
  </documentManagement>
</p:properties>
</file>

<file path=customXml/item4.xml>��< ? x m l   v e r s i o n = " 1 . 0 "   e n c o d i n g = " u t f - 1 6 " ? > < D a t a M a s h u p   x m l n s = " h t t p : / / s c h e m a s . m i c r o s o f t . c o m / D a t a M a s h u p " > A A A A A K s D A A B Q S w M E F A A C A A g A m X M j W C r x t X i l A A A A 9 w A A A B I A H A B D b 2 5 m a W c v U G F j a 2 F n Z S 5 4 b W w g o h g A K K A U A A A A A A A A A A A A A A A A A A A A A A A A A A A A h Y + 7 D o I w G I V f h X S n N x w M + S m D b k p i Y m J c m 1 K h E Y q h x f J u D j 6 S r y D G 6 + Z 4 v v M N 5 9 w u V 8 j H t o n O u n e m s x l i m K J I W 9 W V x l Y Z G v w h n q N c w E a q o 6 x 0 N M n W p a M r M 1 R 7 f 0 o J C S H g k O C u r w i n l J F 9 s d 6 q W r c S f W T z X 4 6 N d V 5 a p Z G A 3 X O M 4 J i x G e a c J 5 g C e V M o j P 0 a f B r 8 a H 8 g L I b G D 7 0 W p Y y X K y D v C O R 1 Q t w B U E s D B B Q A A g A I A J l z I 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Z c y N Y n c b 3 I q Q A A A D x A A A A E w A c A E Z v c m 1 1 b G F z L 1 N l Y 3 R p b 2 4 x L m 0 g o h g A K K A U A A A A A A A A A A A A A A A A A A A A A A A A A A A A d Y 6 x C s I w F E X 3 Q P 4 h v E k h L Z S 6 l Q 6 K i + h k x 1 I k M Q 8 b S B N t U j q I / 2 5 q u y j 4 l g u H w 7 3 P 4 z V o Z 1 k 1 Z 1 Z Q Q o l v R Y + K 7 Z w d / B n 9 Y I I I r G Q G A y U s 3 l E b h R F U D 5 P u R R B S e F y B M I l 0 R t 8 S H 7 F a c D p q q 9 z o U 4 u B Z 5 s 8 B 8 5 g e 1 r M e + / U p C s J a z 5 3 K + k u v 8 O f v W d d X V v s R A l R A X 4 I 2 J X w Z U L z q q d 3 G k q 0 / d N W v A F Q S w E C L Q A U A A I A C A C Z c y N Y K v G 1 e K U A A A D 3 A A A A E g A A A A A A A A A A A A A A A A A A A A A A Q 2 9 u Z m l n L 1 B h Y 2 t h Z 2 U u e G 1 s U E s B A i 0 A F A A C A A g A m X M j W A / K 6 a u k A A A A 6 Q A A A B M A A A A A A A A A A A A A A A A A 8 Q A A A F t D b 2 5 0 Z W 5 0 X 1 R 5 c G V z X S 5 4 b W x Q S w E C L Q A U A A I A C A C Z c y N Y n c b 3 I q Q A A A D x A A A A E w A A A A A A A A A A A A A A A A D i A Q A A R m 9 y b X V s Y X M v U 2 V j d G l v b j E u b V B L B Q Y A A A A A A w A D A M I A A A D T 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2 G Q A A A A A A A N Q Z 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C b 2 5 1 c 1 J l c 3 V s d G F 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m V s Y X R p b 2 5 z a G l w S W 5 m b 0 N v b n R h a W 5 l c i I g V m F s d W U 9 I n N 7 J n F 1 b 3 Q 7 Y 2 9 s d W 1 u Q 2 9 1 b n Q m c X V v d D s 6 M z E s J n F 1 b 3 Q 7 a 2 V 5 Q 2 9 s d W 1 u T m F t Z X M m c X V v d D s 6 W 1 0 s J n F 1 b 3 Q 7 c X V l c n l S Z W x h d G l v b n N o a X B z J n F 1 b 3 Q 7 O l t d L C Z x d W 9 0 O 2 N v b H V t b k l k Z W 5 0 a X R p Z X M m c X V v d D s 6 W y Z x d W 9 0 O 1 N l Y 3 R p b 2 4 x L 0 J v b n V z U m V z d W x 0 Y X Q v Q X V 0 b 1 J l b W 9 2 Z W R D b 2 x 1 b W 5 z M S 5 7 S U Q s M H 0 m c X V v d D s s J n F 1 b 3 Q 7 U 2 V j d G l v b j E v Q m 9 u d X N S Z X N 1 b H R h d C 9 B d X R v U m V t b 3 Z l Z E N v b H V t b n M x L n t J b m R s Y W V z d C w x f S Z x d W 9 0 O y w m c X V v d D t T Z W N 0 a W 9 u M S 9 C b 2 5 1 c 1 J l c 3 V s d G F 0 L 0 F 1 d G 9 S Z W 1 v d m V k Q 2 9 s d W 1 u c z E u e 0 t U T 0 V K R V I s M n 0 m c X V v d D s s J n F 1 b 3 Q 7 U 2 V j d G l v b j E v Q m 9 u d X N S Z X N 1 b H R h d C 9 B d X R v U m V t b 3 Z l Z E N v b H V t b n M x L n t J T l R F U l N O U i w z f S Z x d W 9 0 O y w m c X V v d D t T Z W N 0 a W 9 u M S 9 C b 2 5 1 c 1 J l c 3 V s d G F 0 L 0 F 1 d G 9 S Z W 1 v d m V k Q 2 9 s d W 1 u c z E u e 1 h Q R U p F T k R P T V N O U i w 0 f S Z x d W 9 0 O y w m c X V v d D t T Z W N 0 a W 9 u M S 9 C b 2 5 1 c 1 J l c 3 V s d G F 0 L 0 F 1 d G 9 S Z W 1 v d m V k Q 2 9 s d W 1 u c z E u e 1 h Q T E F O R U x P Q k V O U i w 1 f S Z x d W 9 0 O y w m c X V v d D t T Z W N 0 a W 9 u M S 9 C b 2 5 1 c 1 J l c 3 V s d G F 0 L 0 F 1 d G 9 S Z W 1 v d m V k Q 2 9 s d W 1 u c z E u e 1 N V T U J P T l V T L D Z 9 J n F 1 b 3 Q 7 L C Z x d W 9 0 O 1 N l Y 3 R p b 2 4 x L 0 J v b n V z U m V z d W x 0 Y X Q v Q X V 0 b 1 J l b W 9 2 Z W R D b 2 x 1 b W 5 z M S 5 7 Q k 9 H R k t U T y w 3 f S Z x d W 9 0 O y w m c X V v d D t T Z W N 0 a W 9 u M S 9 C b 2 5 1 c 1 J l c 3 V s d G F 0 L 0 F 1 d G 9 S Z W 1 v d m V k Q 2 9 s d W 1 u c z E u e 0 J P R 0 Z L V E 9 J T l R F U l M s O H 0 m c X V v d D s s J n F 1 b 3 Q 7 U 2 V j d G l v b j E v Q m 9 u d X N S Z X N 1 b H R h d C 9 B d X R v U m V t b 3 Z l Z E N v b H V t b n M x L n t C T 0 d G T k F W T i w 5 f S Z x d W 9 0 O y w m c X V v d D t T Z W N 0 a W 9 u M S 9 C b 2 5 1 c 1 J l c 3 V s d G F 0 L 0 F 1 d G 9 S Z W 1 v d m V k Q 2 9 s d W 1 u c z E u e 0 J S V U d F U k 5 S L D E w f S Z x d W 9 0 O y w m c X V v d D t T Z W N 0 a W 9 u M S 9 C b 2 5 1 c 1 J l c 3 V s d G F 0 L 0 F 1 d G 9 S Z W 1 v d m V k Q 2 9 s d W 1 u c z E u e 0 F B U i w x M X 0 m c X V v d D s s J n F 1 b 3 Q 7 U 2 V j d G l v b j E v Q m 9 u d X N S Z X N 1 b H R h d C 9 B d X R v U m V t b 3 Z l Z E N v b H V t b n M x L n t F S k R L Q V R F U E V S L D E y f S Z x d W 9 0 O y w m c X V v d D t T Z W N 0 a W 9 u M S 9 C b 2 5 1 c 1 J l c 3 V s d G F 0 L 0 F 1 d G 9 S Z W 1 v d m V k Q 2 9 s d W 1 u c z E u e 0 x B T k V U W V B F U E V S L D E z f S Z x d W 9 0 O y w m c X V v d D t T Z W N 0 a W 9 u M S 9 C b 2 5 1 c 1 J l c 3 V s d G F 0 L 0 F 1 d G 9 S Z W 1 v d m V k Q 2 9 s d W 1 u c z E u e 0 x B T k V U U F R Y V C w x N H 0 m c X V v d D s s J n F 1 b 3 Q 7 U 2 V j d G l v b j E v Q m 9 u d X N S Z X N 1 b H R h d C 9 B d X R v U m V t b 3 Z l Z E N v b H V t b n M x L n t F S k R L Q V R Y V C w x N X 0 m c X V v d D s s J n F 1 b 3 Q 7 U 2 V j d G l v b j E v Q m 9 u d X N S Z X N 1 b H R h d C 9 B d X R v U m V t b 3 Z l Z E N v b H V t b n M x L n t W R U o s M T Z 9 J n F 1 b 3 Q 7 L C Z x d W 9 0 O 1 N l Y 3 R p b 2 4 x L 0 J v b n V z U m V z d W x 0 Y X Q v Q X V 0 b 1 J l b W 9 2 Z W R D b 2 x 1 b W 5 z M S 5 7 T T A x L D E 3 f S Z x d W 9 0 O y w m c X V v d D t T Z W N 0 a W 9 u M S 9 C b 2 5 1 c 1 J l c 3 V s d G F 0 L 0 F 1 d G 9 S Z W 1 v d m V k Q 2 9 s d W 1 u c z E u e 0 0 w M i w x O H 0 m c X V v d D s s J n F 1 b 3 Q 7 U 2 V j d G l v b j E v Q m 9 u d X N S Z X N 1 b H R h d C 9 B d X R v U m V t b 3 Z l Z E N v b H V t b n M x L n t N M D M s M T l 9 J n F 1 b 3 Q 7 L C Z x d W 9 0 O 1 N l Y 3 R p b 2 4 x L 0 J v b n V z U m V z d W x 0 Y X Q v Q X V 0 b 1 J l b W 9 2 Z W R D b 2 x 1 b W 5 z M S 5 7 T T A 0 L D I w f S Z x d W 9 0 O y w m c X V v d D t T Z W N 0 a W 9 u M S 9 C b 2 5 1 c 1 J l c 3 V s d G F 0 L 0 F 1 d G 9 S Z W 1 v d m V k Q 2 9 s d W 1 u c z E u e 0 0 w N S w y M X 0 m c X V v d D s s J n F 1 b 3 Q 7 U 2 V j d G l v b j E v Q m 9 u d X N S Z X N 1 b H R h d C 9 B d X R v U m V t b 3 Z l Z E N v b H V t b n M x L n t N M D Y s M j J 9 J n F 1 b 3 Q 7 L C Z x d W 9 0 O 1 N l Y 3 R p b 2 4 x L 0 J v b n V z U m V z d W x 0 Y X Q v Q X V 0 b 1 J l b W 9 2 Z W R D b 2 x 1 b W 5 z M S 5 7 T T A 3 L D I z f S Z x d W 9 0 O y w m c X V v d D t T Z W N 0 a W 9 u M S 9 C b 2 5 1 c 1 J l c 3 V s d G F 0 L 0 F 1 d G 9 S Z W 1 v d m V k Q 2 9 s d W 1 u c z E u e 0 0 w O C w y N H 0 m c X V v d D s s J n F 1 b 3 Q 7 U 2 V j d G l v b j E v Q m 9 u d X N S Z X N 1 b H R h d C 9 B d X R v U m V t b 3 Z l Z E N v b H V t b n M x L n t N M D k s M j V 9 J n F 1 b 3 Q 7 L C Z x d W 9 0 O 1 N l Y 3 R p b 2 4 x L 0 J v b n V z U m V z d W x 0 Y X Q v Q X V 0 b 1 J l b W 9 2 Z W R D b 2 x 1 b W 5 z M S 5 7 T T E w L D I 2 f S Z x d W 9 0 O y w m c X V v d D t T Z W N 0 a W 9 u M S 9 C b 2 5 1 c 1 J l c 3 V s d G F 0 L 0 F 1 d G 9 S Z W 1 v d m V k Q 2 9 s d W 1 u c z E u e 0 0 x M S w y N 3 0 m c X V v d D s s J n F 1 b 3 Q 7 U 2 V j d G l v b j E v Q m 9 u d X N S Z X N 1 b H R h d C 9 B d X R v U m V t b 3 Z l Z E N v b H V t b n M x L n t N M T I s M j h 9 J n F 1 b 3 Q 7 L C Z x d W 9 0 O 1 N l Y 3 R p b 2 4 x L 0 J v b n V z U m V z d W x 0 Y X Q v Q X V 0 b 1 J l b W 9 2 Z W R D b 2 x 1 b W 5 z M S 5 7 V E 9 U Q U w s M j l 9 J n F 1 b 3 Q 7 L C Z x d W 9 0 O 1 N l Y 3 R p b 2 4 x L 0 J v b n V z U m V z d W x 0 Y X Q v Q X V 0 b 1 J l b W 9 2 Z W R D b 2 x 1 b W 5 z M S 5 7 Q V J U L D M w f S Z x d W 9 0 O 1 0 s J n F 1 b 3 Q 7 Q 2 9 s d W 1 u Q 2 9 1 b n Q m c X V v d D s 6 M z E s J n F 1 b 3 Q 7 S 2 V 5 Q 2 9 s d W 1 u T m F t Z X M m c X V v d D s 6 W 1 0 s J n F 1 b 3 Q 7 Q 2 9 s d W 1 u S W R l b n R p d G l l c y Z x d W 9 0 O z p b J n F 1 b 3 Q 7 U 2 V j d G l v b j E v Q m 9 u d X N S Z X N 1 b H R h d C 9 B d X R v U m V t b 3 Z l Z E N v b H V t b n M x L n t J R C w w f S Z x d W 9 0 O y w m c X V v d D t T Z W N 0 a W 9 u M S 9 C b 2 5 1 c 1 J l c 3 V s d G F 0 L 0 F 1 d G 9 S Z W 1 v d m V k Q 2 9 s d W 1 u c z E u e 0 l u Z G x h Z X N 0 L D F 9 J n F 1 b 3 Q 7 L C Z x d W 9 0 O 1 N l Y 3 R p b 2 4 x L 0 J v b n V z U m V z d W x 0 Y X Q v Q X V 0 b 1 J l b W 9 2 Z W R D b 2 x 1 b W 5 z M S 5 7 S 1 R P R U p F U i w y f S Z x d W 9 0 O y w m c X V v d D t T Z W N 0 a W 9 u M S 9 C b 2 5 1 c 1 J l c 3 V s d G F 0 L 0 F 1 d G 9 S Z W 1 v d m V k Q 2 9 s d W 1 u c z E u e 0 l O V E V S U 0 5 S L D N 9 J n F 1 b 3 Q 7 L C Z x d W 9 0 O 1 N l Y 3 R p b 2 4 x L 0 J v b n V z U m V z d W x 0 Y X Q v Q X V 0 b 1 J l b W 9 2 Z W R D b 2 x 1 b W 5 z M S 5 7 W F B F S k V O R E 9 N U 0 5 S L D R 9 J n F 1 b 3 Q 7 L C Z x d W 9 0 O 1 N l Y 3 R p b 2 4 x L 0 J v b n V z U m V z d W x 0 Y X Q v Q X V 0 b 1 J l b W 9 2 Z W R D b 2 x 1 b W 5 z M S 5 7 W F B M Q U 5 F T E 9 C R U 5 S L D V 9 J n F 1 b 3 Q 7 L C Z x d W 9 0 O 1 N l Y 3 R p b 2 4 x L 0 J v b n V z U m V z d W x 0 Y X Q v Q X V 0 b 1 J l b W 9 2 Z W R D b 2 x 1 b W 5 z M S 5 7 U 1 V N Q k 9 O V V M s N n 0 m c X V v d D s s J n F 1 b 3 Q 7 U 2 V j d G l v b j E v Q m 9 u d X N S Z X N 1 b H R h d C 9 B d X R v U m V t b 3 Z l Z E N v b H V t b n M x L n t C T 0 d G S 1 R P L D d 9 J n F 1 b 3 Q 7 L C Z x d W 9 0 O 1 N l Y 3 R p b 2 4 x L 0 J v b n V z U m V z d W x 0 Y X Q v Q X V 0 b 1 J l b W 9 2 Z W R D b 2 x 1 b W 5 z M S 5 7 Q k 9 H R k t U T 0 l O V E V S U y w 4 f S Z x d W 9 0 O y w m c X V v d D t T Z W N 0 a W 9 u M S 9 C b 2 5 1 c 1 J l c 3 V s d G F 0 L 0 F 1 d G 9 S Z W 1 v d m V k Q 2 9 s d W 1 u c z E u e 0 J P R 0 Z O Q V Z O L D l 9 J n F 1 b 3 Q 7 L C Z x d W 9 0 O 1 N l Y 3 R p b 2 4 x L 0 J v b n V z U m V z d W x 0 Y X Q v Q X V 0 b 1 J l b W 9 2 Z W R D b 2 x 1 b W 5 z M S 5 7 Q l J V R 0 V S T l I s M T B 9 J n F 1 b 3 Q 7 L C Z x d W 9 0 O 1 N l Y 3 R p b 2 4 x L 0 J v b n V z U m V z d W x 0 Y X Q v Q X V 0 b 1 J l b W 9 2 Z W R D b 2 x 1 b W 5 z M S 5 7 Q U F S L D E x f S Z x d W 9 0 O y w m c X V v d D t T Z W N 0 a W 9 u M S 9 C b 2 5 1 c 1 J l c 3 V s d G F 0 L 0 F 1 d G 9 S Z W 1 v d m V k Q 2 9 s d W 1 u c z E u e 0 V K R E t B V E V Q R V I s M T J 9 J n F 1 b 3 Q 7 L C Z x d W 9 0 O 1 N l Y 3 R p b 2 4 x L 0 J v b n V z U m V z d W x 0 Y X Q v Q X V 0 b 1 J l b W 9 2 Z W R D b 2 x 1 b W 5 z M S 5 7 T E F O R V R Z U E V Q R V I s M T N 9 J n F 1 b 3 Q 7 L C Z x d W 9 0 O 1 N l Y 3 R p b 2 4 x L 0 J v b n V z U m V z d W x 0 Y X Q v Q X V 0 b 1 J l b W 9 2 Z W R D b 2 x 1 b W 5 z M S 5 7 T E F O R V R Q V F h U L D E 0 f S Z x d W 9 0 O y w m c X V v d D t T Z W N 0 a W 9 u M S 9 C b 2 5 1 c 1 J l c 3 V s d G F 0 L 0 F 1 d G 9 S Z W 1 v d m V k Q 2 9 s d W 1 u c z E u e 0 V K R E t B V F h U L D E 1 f S Z x d W 9 0 O y w m c X V v d D t T Z W N 0 a W 9 u M S 9 C b 2 5 1 c 1 J l c 3 V s d G F 0 L 0 F 1 d G 9 S Z W 1 v d m V k Q 2 9 s d W 1 u c z E u e 1 Z F S i w x N n 0 m c X V v d D s s J n F 1 b 3 Q 7 U 2 V j d G l v b j E v Q m 9 u d X N S Z X N 1 b H R h d C 9 B d X R v U m V t b 3 Z l Z E N v b H V t b n M x L n t N M D E s M T d 9 J n F 1 b 3 Q 7 L C Z x d W 9 0 O 1 N l Y 3 R p b 2 4 x L 0 J v b n V z U m V z d W x 0 Y X Q v Q X V 0 b 1 J l b W 9 2 Z W R D b 2 x 1 b W 5 z M S 5 7 T T A y L D E 4 f S Z x d W 9 0 O y w m c X V v d D t T Z W N 0 a W 9 u M S 9 C b 2 5 1 c 1 J l c 3 V s d G F 0 L 0 F 1 d G 9 S Z W 1 v d m V k Q 2 9 s d W 1 u c z E u e 0 0 w M y w x O X 0 m c X V v d D s s J n F 1 b 3 Q 7 U 2 V j d G l v b j E v Q m 9 u d X N S Z X N 1 b H R h d C 9 B d X R v U m V t b 3 Z l Z E N v b H V t b n M x L n t N M D Q s M j B 9 J n F 1 b 3 Q 7 L C Z x d W 9 0 O 1 N l Y 3 R p b 2 4 x L 0 J v b n V z U m V z d W x 0 Y X Q v Q X V 0 b 1 J l b W 9 2 Z W R D b 2 x 1 b W 5 z M S 5 7 T T A 1 L D I x f S Z x d W 9 0 O y w m c X V v d D t T Z W N 0 a W 9 u M S 9 C b 2 5 1 c 1 J l c 3 V s d G F 0 L 0 F 1 d G 9 S Z W 1 v d m V k Q 2 9 s d W 1 u c z E u e 0 0 w N i w y M n 0 m c X V v d D s s J n F 1 b 3 Q 7 U 2 V j d G l v b j E v Q m 9 u d X N S Z X N 1 b H R h d C 9 B d X R v U m V t b 3 Z l Z E N v b H V t b n M x L n t N M D c s M j N 9 J n F 1 b 3 Q 7 L C Z x d W 9 0 O 1 N l Y 3 R p b 2 4 x L 0 J v b n V z U m V z d W x 0 Y X Q v Q X V 0 b 1 J l b W 9 2 Z W R D b 2 x 1 b W 5 z M S 5 7 T T A 4 L D I 0 f S Z x d W 9 0 O y w m c X V v d D t T Z W N 0 a W 9 u M S 9 C b 2 5 1 c 1 J l c 3 V s d G F 0 L 0 F 1 d G 9 S Z W 1 v d m V k Q 2 9 s d W 1 u c z E u e 0 0 w O S w y N X 0 m c X V v d D s s J n F 1 b 3 Q 7 U 2 V j d G l v b j E v Q m 9 u d X N S Z X N 1 b H R h d C 9 B d X R v U m V t b 3 Z l Z E N v b H V t b n M x L n t N M T A s M j Z 9 J n F 1 b 3 Q 7 L C Z x d W 9 0 O 1 N l Y 3 R p b 2 4 x L 0 J v b n V z U m V z d W x 0 Y X Q v Q X V 0 b 1 J l b W 9 2 Z W R D b 2 x 1 b W 5 z M S 5 7 T T E x L D I 3 f S Z x d W 9 0 O y w m c X V v d D t T Z W N 0 a W 9 u M S 9 C b 2 5 1 c 1 J l c 3 V s d G F 0 L 0 F 1 d G 9 S Z W 1 v d m V k Q 2 9 s d W 1 u c z E u e 0 0 x M i w y O H 0 m c X V v d D s s J n F 1 b 3 Q 7 U 2 V j d G l v b j E v Q m 9 u d X N S Z X N 1 b H R h d C 9 B d X R v U m V t b 3 Z l Z E N v b H V t b n M x L n t U T 1 R B T C w y O X 0 m c X V v d D s s J n F 1 b 3 Q 7 U 2 V j d G l v b j E v Q m 9 u d X N S Z X N 1 b H R h d C 9 B d X R v U m V t b 3 Z l Z E N v b H V t b n M x L n t B U l Q s M z B 9 J n F 1 b 3 Q 7 X S w m c X V v d D t S Z W x h d G l v b n N o a X B J b m Z v J n F 1 b 3 Q 7 O l t d f S I g L z 4 8 R W 5 0 c n k g V H l w Z T 0 i R m l s b F N 0 Y X R 1 c y I g V m F s d W U 9 I n N X Y W l 0 a W 5 n R m 9 y R X h j Z W x S Z W Z y Z X N o I i A v P j x F b n R y e S B U e X B l P S J G a W x s Q 2 9 s d W 1 u T m F t Z X M i I F Z h b H V l P S J z W y Z x d W 9 0 O 0 l E J n F 1 b 3 Q 7 L C Z x d W 9 0 O 0 l u Z G x h Z X N 0 J n F 1 b 3 Q 7 L C Z x d W 9 0 O 0 t U T 0 V K R V I m c X V v d D s s J n F 1 b 3 Q 7 S U 5 U R V J T T l I m c X V v d D s s J n F 1 b 3 Q 7 W F B F S k V O R E 9 N U 0 5 S J n F 1 b 3 Q 7 L C Z x d W 9 0 O 1 h Q T E F O R U x P Q k V O U i Z x d W 9 0 O y w m c X V v d D t T V U 1 C T 0 5 V U y Z x d W 9 0 O y w m c X V v d D t C T 0 d G S 1 R P J n F 1 b 3 Q 7 L C Z x d W 9 0 O 0 J P R 0 Z L V E 9 J T l R F U l M m c X V v d D s s J n F 1 b 3 Q 7 Q k 9 H R k 5 B V k 4 m c X V v d D s s J n F 1 b 3 Q 7 Q l J V R 0 V S T l I m c X V v d D s s J n F 1 b 3 Q 7 Q U F S J n F 1 b 3 Q 7 L C Z x d W 9 0 O 0 V K R E t B V E V Q R V I m c X V v d D s s J n F 1 b 3 Q 7 T E F O R V R Z U E V Q R V I m c X V v d D s s J n F 1 b 3 Q 7 T E F O R V R Q V F h U J n F 1 b 3 Q 7 L C Z x d W 9 0 O 0 V K R E t B V F h U J n F 1 b 3 Q 7 L C Z x d W 9 0 O 1 Z F S i Z x d W 9 0 O y w m c X V v d D t N M D E m c X V v d D s s J n F 1 b 3 Q 7 T T A y J n F 1 b 3 Q 7 L C Z x d W 9 0 O 0 0 w M y Z x d W 9 0 O y w m c X V v d D t N M D Q m c X V v d D s s J n F 1 b 3 Q 7 T T A 1 J n F 1 b 3 Q 7 L C Z x d W 9 0 O 0 0 w N i Z x d W 9 0 O y w m c X V v d D t N M D c m c X V v d D s s J n F 1 b 3 Q 7 T T A 4 J n F 1 b 3 Q 7 L C Z x d W 9 0 O 0 0 w O S Z x d W 9 0 O y w m c X V v d D t N M T A m c X V v d D s s J n F 1 b 3 Q 7 T T E x J n F 1 b 3 Q 7 L C Z x d W 9 0 O 0 0 x M i Z x d W 9 0 O y w m c X V v d D t U T 1 R B T C Z x d W 9 0 O y w m c X V v d D t B U l Q m c X V v d D t d I i A v P j x F b n R y e S B U e X B l P S J G a W x s Q 2 9 s d W 1 u V H l w Z X M i I F Z h b H V l P S J z Q W d j R E F 3 T U N C Q U 1 E Q m d N Q 0 J n W U d C Z 1 l F Q k F R R U J B U U V C Q V F F Q k F R R U J n P T 0 i I C 8 + P E V u d H J 5 I F R 5 c G U 9 I k Z p b G x M Y X N 0 V X B k Y X R l Z C I g V m F s d W U 9 I m Q y M D I 0 L T A x L T A z V D E z O j I 4 O j I z L j E 5 N T M 0 M j B a I i A v P j x F b n R y e S B U e X B l P S J G a W x s R X J y b 3 J D b 3 V u d C I g V m F s d W U 9 I m w w I i A v P j x F b n R y e S B U e X B l P S J G a W x s R X J y b 3 J D b 2 R l I i B W Y W x 1 Z T 0 i c 1 V u a 2 5 v d 2 4 i I C 8 + P E V u d H J 5 I F R 5 c G U 9 I k Z p b G x D b 3 V u d C I g V m F s d W U 9 I m w x N T Y 3 N j g i I C 8 + P E V u d H J 5 I F R 5 c G U 9 I k F k Z G V k V G 9 E Y X R h T W 9 k Z W w i I F Z h b H V l P S J s M C I g L z 4 8 L 1 N 0 Y W J s Z U V u d H J p Z X M + P C 9 J d G V t P j x J d G V t P j x J d G V t T G 9 j Y X R p b 2 4 + P E l 0 Z W 1 U e X B l P k Z v c m 1 1 b G E 8 L 0 l 0 Z W 1 U e X B l P j x J d G V t U G F 0 a D 5 T Z W N 0 a W 9 u M S 9 C b 2 5 1 c 1 J l c 3 V s d G F 0 L 0 t p b G R l P C 9 J d G V t U G F 0 a D 4 8 L 0 l 0 Z W 1 M b 2 N h d G l v b j 4 8 U 3 R h Y m x l R W 5 0 c m l l c y A v P j w v S X R l b T 4 8 S X R l b T 4 8 S X R l b U x v Y 2 F 0 a W 9 u P j x J d G V t V H l w Z T 5 G b 3 J t d W x h P C 9 J d G V t V H l w Z T 4 8 S X R l b V B h d G g + U 2 V j d G l v b j E v Q m 9 u d X N S Z X N 1 b H R h d C 9 k Y m 9 f Q m 9 u d X N S Z X N 1 b H R h d D w v S X R l b V B h d G g + P C 9 J d G V t T G 9 j Y X R p b 2 4 + P F N 0 Y W J s Z U V u d H J p Z X M g L z 4 8 L 0 l 0 Z W 0 + P C 9 J d G V t c z 4 8 L 0 x v Y 2 F s U G F j a 2 F n Z U 1 l d G F k Y X R h R m l s Z T 4 W A A A A U E s F B g A A A A A A A A A A A A A A A A A A A A A A A C Y B A A A B A A A A 0 I y d 3 w E V 0 R G M e g D A T 8 K X 6 w E A A A C f + + a R u q 9 S T K h n 0 k q N m S E 4 A A A A A A I A A A A A A B B m A A A A A Q A A I A A A A P X P c N V G r 5 M G D h 5 J v P D s Y U H p I t 4 O 2 g 2 Z + h t 1 j T 0 E 2 S A h A A A A A A 6 A A A A A A g A A I A A A A I C h l 3 J C 1 o o 6 R 3 X x / k K V w f h E C j d G N X H R t h r d D E W q 9 1 o U U A A A A G p G z B 2 O 2 H s x C Z Q c E 5 2 + u l w h m t H r k y R H + k s 8 w n k F l a i l 9 W 2 b V s w d X U U n Z q m 9 G o m y v 5 v B R P j U l B v 5 7 V I P c t S n E q w o 4 Z c t u r F + Z N k s m 2 2 q b q 8 Z Q A A A A C 2 2 w o E g S G e 7 s V N q g t W D j i U b H g g H E 2 4 t z 5 b b B / d B 9 x S X p N f h n h e 2 c w h W G W R / n 0 7 X e g N / k R u c A q Y F b n q U A t n y h 1 c = < / D a t a M a s h u p > 
</file>

<file path=customXml/itemProps1.xml><?xml version="1.0" encoding="utf-8"?>
<ds:datastoreItem xmlns:ds="http://schemas.openxmlformats.org/officeDocument/2006/customXml" ds:itemID="{0544002C-940A-41F6-B9DF-B21F92B2A8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e6173e8-662d-41b6-8505-12a0c2c2b0ba"/>
    <ds:schemaRef ds:uri="34e613ec-6b0b-4d51-a952-b77326852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9E4AAC-C42E-47A7-9AE5-E50CAB20E199}">
  <ds:schemaRefs>
    <ds:schemaRef ds:uri="http://schemas.microsoft.com/sharepoint/v3/contenttype/forms"/>
  </ds:schemaRefs>
</ds:datastoreItem>
</file>

<file path=customXml/itemProps3.xml><?xml version="1.0" encoding="utf-8"?>
<ds:datastoreItem xmlns:ds="http://schemas.openxmlformats.org/officeDocument/2006/customXml" ds:itemID="{AD3FF12F-9A16-472F-8AC4-D02B9A9E6B4B}">
  <ds:schemaRefs>
    <ds:schemaRef ds:uri="http://schemas.microsoft.com/office/2006/metadata/properties"/>
    <ds:schemaRef ds:uri="http://schemas.microsoft.com/sharepoint/v3"/>
    <ds:schemaRef ds:uri="http://schemas.microsoft.com/office/2006/documentManagement/types"/>
    <ds:schemaRef ds:uri="http://purl.org/dc/terms/"/>
    <ds:schemaRef ds:uri="http://schemas.openxmlformats.org/package/2006/metadata/core-properties"/>
    <ds:schemaRef ds:uri="http://purl.org/dc/elements/1.1/"/>
    <ds:schemaRef ds:uri="6e6173e8-662d-41b6-8505-12a0c2c2b0ba"/>
    <ds:schemaRef ds:uri="http://schemas.microsoft.com/office/infopath/2007/PartnerControls"/>
    <ds:schemaRef ds:uri="34e613ec-6b0b-4d51-a952-b77326852c1e"/>
    <ds:schemaRef ds:uri="http://www.w3.org/XML/1998/namespace"/>
    <ds:schemaRef ds:uri="http://purl.org/dc/dcmitype/"/>
  </ds:schemaRefs>
</ds:datastoreItem>
</file>

<file path=customXml/itemProps4.xml><?xml version="1.0" encoding="utf-8"?>
<ds:datastoreItem xmlns:ds="http://schemas.openxmlformats.org/officeDocument/2006/customXml" ds:itemID="{E85691F1-24EE-49C7-8F17-BE93FA9D63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Regneark</vt:lpstr>
      </vt:variant>
      <vt:variant>
        <vt:i4>17</vt:i4>
      </vt:variant>
      <vt:variant>
        <vt:lpstr>Navngivne områder</vt:lpstr>
      </vt:variant>
      <vt:variant>
        <vt:i4>1</vt:i4>
      </vt:variant>
    </vt:vector>
  </HeadingPairs>
  <TitlesOfParts>
    <vt:vector size="18" baseType="lpstr">
      <vt:lpstr>Content</vt:lpstr>
      <vt:lpstr>Overview of key figures</vt:lpstr>
      <vt:lpstr>Overblik over nøgletal backup</vt:lpstr>
      <vt:lpstr>FN Impact Analyse (2)</vt:lpstr>
      <vt:lpstr>UN impact analysis</vt:lpstr>
      <vt:lpstr>Ark1</vt:lpstr>
      <vt:lpstr>Housing loans</vt:lpstr>
      <vt:lpstr>Car loans and leasing</vt:lpstr>
      <vt:lpstr>Investments for customers</vt:lpstr>
      <vt:lpstr>Investments in own portfolio</vt:lpstr>
      <vt:lpstr>Climate accounts</vt:lpstr>
      <vt:lpstr>Environmental accounts</vt:lpstr>
      <vt:lpstr>Customers</vt:lpstr>
      <vt:lpstr>Employees</vt:lpstr>
      <vt:lpstr>Governance and management</vt:lpstr>
      <vt:lpstr>Policies and practices</vt:lpstr>
      <vt:lpstr>Reporting principles</vt:lpstr>
      <vt:lpstr>'Overview of key figures'!_Toc124793010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Rasmus Bøtting</dc:creator>
  <cp:keywords/>
  <dc:description/>
  <cp:lastModifiedBy>Susanne Øager Pedersen</cp:lastModifiedBy>
  <cp:revision/>
  <dcterms:created xsi:type="dcterms:W3CDTF">2015-06-05T18:19:34Z</dcterms:created>
  <dcterms:modified xsi:type="dcterms:W3CDTF">2024-02-07T08:14:40Z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0x01010002F476470AC54C47BEAB11F7FA950027</vt:lpwstr>
  </property>
  <property fmtid="{D5CDD505-2E9C-101B-9397-08002B2CF9AE}" pid="3" name="MediaServiceImageTags">
    <vt:lpwstr/>
  </property>
</Properties>
</file>