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FIT2\Desktop\"/>
    </mc:Choice>
  </mc:AlternateContent>
  <xr:revisionPtr revIDLastSave="0" documentId="8_{8D2D095F-3B51-4F45-9EF4-47C9B7896595}" xr6:coauthVersionLast="47" xr6:coauthVersionMax="47" xr10:uidLastSave="{00000000-0000-0000-0000-000000000000}"/>
  <bookViews>
    <workbookView xWindow="-110" yWindow="-110" windowWidth="19420" windowHeight="10420" firstSheet="1" activeTab="1" xr2:uid="{4C49B81E-9089-412F-B625-A1AAC5B815AD}"/>
  </bookViews>
  <sheets>
    <sheet name="Indholdsfortegnelse" sheetId="22" r:id="rId1"/>
    <sheet name="Solvensbehov" sheetId="21" r:id="rId2"/>
    <sheet name="EU CC1 DK" sheetId="1" r:id="rId3"/>
    <sheet name="EU CC2 DK" sheetId="2" r:id="rId4"/>
    <sheet name="EU CCyB1 DK" sheetId="3" r:id="rId5"/>
    <sheet name="EU CCyB2 DK" sheetId="4" r:id="rId6"/>
    <sheet name="EU CR1 DK" sheetId="5" r:id="rId7"/>
    <sheet name="EU CR1-A DK" sheetId="6" r:id="rId8"/>
    <sheet name="EU CR2 DK" sheetId="7" r:id="rId9"/>
    <sheet name="EU CR3 DK" sheetId="8" r:id="rId10"/>
    <sheet name="EU CR4 DK" sheetId="9" r:id="rId11"/>
    <sheet name="EU CR5 DK" sheetId="10" r:id="rId12"/>
    <sheet name="EU CCR1 DK" sheetId="11" r:id="rId13"/>
    <sheet name="EU CCR2 DK" sheetId="12" r:id="rId14"/>
    <sheet name="EU CCR3 DK" sheetId="13" r:id="rId15"/>
    <sheet name="EU CCR5 DK" sheetId="14" r:id="rId16"/>
    <sheet name="EU CCR8 DK" sheetId="15" r:id="rId17"/>
    <sheet name="EU MR1 DK" sheetId="18" r:id="rId18"/>
    <sheet name="EU IRRBB1 DK" sheetId="19" r:id="rId19"/>
    <sheet name="EU LIQ2 DK" sheetId="20" r:id="rId20"/>
    <sheet name="EU LR1 - LRSum DK" sheetId="16" r:id="rId21"/>
    <sheet name="EU LR2 - LRCom DK" sheetId="17" r:id="rId2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21" l="1"/>
  <c r="D12" i="21"/>
  <c r="B9" i="21"/>
  <c r="B12" i="21"/>
  <c r="E9" i="21"/>
  <c r="C9" i="21"/>
  <c r="F10" i="19"/>
  <c r="E10" i="19"/>
  <c r="C16" i="18"/>
  <c r="D72" i="17"/>
  <c r="D71" i="17"/>
  <c r="C70" i="17"/>
  <c r="C69" i="17"/>
  <c r="C68" i="17"/>
  <c r="D14" i="17"/>
  <c r="D26" i="17"/>
  <c r="D34" i="17"/>
  <c r="D39" i="17"/>
  <c r="D54" i="17"/>
  <c r="C8" i="17"/>
  <c r="C13" i="17"/>
  <c r="C14" i="17"/>
  <c r="C16" i="17"/>
  <c r="C18" i="17"/>
  <c r="C26" i="17"/>
  <c r="C28" i="17"/>
  <c r="C29" i="17"/>
  <c r="C34" i="17"/>
  <c r="C39" i="17"/>
  <c r="C54" i="17"/>
  <c r="C53" i="17"/>
  <c r="C37" i="17"/>
  <c r="C36" i="17"/>
  <c r="C7" i="16"/>
  <c r="C14" i="16"/>
  <c r="C15" i="16"/>
  <c r="C16" i="16"/>
  <c r="C20" i="16"/>
  <c r="C21" i="16"/>
  <c r="N9" i="13"/>
  <c r="N10" i="13"/>
  <c r="N11" i="13"/>
  <c r="N12" i="13"/>
  <c r="N13" i="13"/>
  <c r="G14" i="13"/>
  <c r="H14" i="13"/>
  <c r="N14" i="13"/>
  <c r="K15" i="13"/>
  <c r="N15" i="13"/>
  <c r="J16" i="13"/>
  <c r="N16" i="13"/>
  <c r="N17" i="13"/>
  <c r="L18" i="13"/>
  <c r="N18" i="13"/>
  <c r="N19" i="13"/>
  <c r="M19" i="13"/>
  <c r="L19" i="13"/>
  <c r="K19" i="13"/>
  <c r="J19" i="13"/>
  <c r="I19" i="13"/>
  <c r="H19" i="13"/>
  <c r="G19" i="13"/>
  <c r="F19" i="13"/>
  <c r="E19" i="13"/>
  <c r="D19" i="13"/>
  <c r="C19" i="13"/>
  <c r="J18" i="11"/>
  <c r="I18" i="11"/>
  <c r="H18" i="11"/>
  <c r="G18" i="11"/>
  <c r="S13" i="10"/>
  <c r="S14" i="10"/>
  <c r="S24" i="10"/>
  <c r="C24" i="10"/>
  <c r="D24" i="10"/>
  <c r="E24" i="10"/>
  <c r="F24" i="10"/>
  <c r="G24" i="10"/>
  <c r="H24" i="10"/>
  <c r="I24" i="10"/>
  <c r="J24" i="10"/>
  <c r="K24" i="10"/>
  <c r="L24" i="10"/>
  <c r="M24" i="10"/>
  <c r="N24" i="10"/>
  <c r="P24" i="10"/>
  <c r="Q24" i="10"/>
  <c r="R24" i="10"/>
  <c r="R23" i="10"/>
  <c r="R22" i="10"/>
  <c r="R21" i="10"/>
  <c r="R20" i="10"/>
  <c r="R19" i="10"/>
  <c r="R18" i="10"/>
  <c r="R17" i="10"/>
  <c r="R16" i="10"/>
  <c r="R15" i="10"/>
  <c r="R14" i="10"/>
  <c r="R13" i="10"/>
  <c r="R12" i="10"/>
  <c r="R11" i="10"/>
  <c r="R10" i="10"/>
  <c r="R9" i="10"/>
  <c r="R8" i="10"/>
  <c r="F25" i="9"/>
  <c r="E25" i="9"/>
  <c r="D25" i="9"/>
  <c r="C25" i="9"/>
  <c r="B25" i="9"/>
  <c r="F24" i="9"/>
  <c r="E24" i="9"/>
  <c r="D24" i="9"/>
  <c r="C24" i="9"/>
  <c r="B24" i="9"/>
  <c r="F23" i="9"/>
  <c r="D23" i="9"/>
  <c r="B23" i="9"/>
  <c r="F22" i="9"/>
  <c r="D22" i="9"/>
  <c r="B22" i="9"/>
  <c r="F19" i="9"/>
  <c r="E19" i="9"/>
  <c r="D19" i="9"/>
  <c r="C19" i="9"/>
  <c r="B19" i="9"/>
  <c r="F18" i="9"/>
  <c r="E18" i="9"/>
  <c r="D18" i="9"/>
  <c r="C18" i="9"/>
  <c r="B18" i="9"/>
  <c r="F17" i="9"/>
  <c r="E17" i="9"/>
  <c r="D17" i="9"/>
  <c r="C17" i="9"/>
  <c r="B17" i="9"/>
  <c r="F16" i="9"/>
  <c r="E16" i="9"/>
  <c r="D16" i="9"/>
  <c r="C16" i="9"/>
  <c r="B16" i="9"/>
  <c r="F15" i="9"/>
  <c r="E15" i="9"/>
  <c r="D15" i="9"/>
  <c r="C15" i="9"/>
  <c r="B15" i="9"/>
  <c r="F14" i="9"/>
  <c r="E14" i="9"/>
  <c r="D14" i="9"/>
  <c r="C14" i="9"/>
  <c r="B14" i="9"/>
  <c r="F11" i="9"/>
  <c r="D11" i="9"/>
  <c r="B11" i="9"/>
  <c r="E10" i="9"/>
  <c r="D10" i="9"/>
  <c r="C10" i="9"/>
  <c r="B10" i="9"/>
  <c r="F9" i="9"/>
  <c r="D9" i="9"/>
  <c r="C9" i="9"/>
  <c r="B9" i="9"/>
  <c r="C11" i="7"/>
  <c r="Q10" i="5"/>
  <c r="Q24" i="5"/>
  <c r="Q31" i="5"/>
  <c r="P10" i="5"/>
  <c r="P24" i="5"/>
  <c r="P31" i="5"/>
  <c r="O10" i="5"/>
  <c r="O31" i="5"/>
  <c r="N10" i="5"/>
  <c r="N24" i="5"/>
  <c r="N31" i="5"/>
  <c r="M10" i="5"/>
  <c r="M24" i="5"/>
  <c r="M31" i="5"/>
  <c r="L10" i="5"/>
  <c r="L24" i="5"/>
  <c r="L31" i="5"/>
  <c r="K10" i="5"/>
  <c r="K24" i="5"/>
  <c r="K31" i="5"/>
  <c r="J10" i="5"/>
  <c r="J24" i="5"/>
  <c r="J31" i="5"/>
  <c r="I10" i="5"/>
  <c r="I24" i="5"/>
  <c r="I31" i="5"/>
  <c r="H10" i="5"/>
  <c r="H24" i="5"/>
  <c r="H31" i="5"/>
  <c r="G10" i="5"/>
  <c r="G24" i="5"/>
  <c r="G31" i="5"/>
  <c r="F10" i="5"/>
  <c r="F24" i="5"/>
  <c r="F31" i="5"/>
  <c r="E10" i="5"/>
  <c r="E24" i="5"/>
  <c r="E31" i="5"/>
  <c r="D10" i="5"/>
  <c r="D24" i="5"/>
  <c r="D31" i="5"/>
  <c r="C10" i="5"/>
  <c r="C24" i="5"/>
  <c r="C31" i="5"/>
  <c r="C7" i="4"/>
  <c r="M10" i="3"/>
  <c r="M11" i="3"/>
  <c r="M12" i="3"/>
  <c r="I10" i="3"/>
  <c r="I11" i="3"/>
  <c r="I12" i="3"/>
  <c r="J10" i="3"/>
  <c r="J11" i="3"/>
  <c r="J12" i="3"/>
  <c r="L12" i="3"/>
  <c r="C10" i="3"/>
  <c r="C11" i="3"/>
  <c r="C12" i="3"/>
  <c r="E10" i="3"/>
  <c r="E11" i="3"/>
  <c r="E12" i="3"/>
  <c r="H12" i="3"/>
  <c r="L11" i="3"/>
  <c r="H11" i="3"/>
  <c r="L10" i="3"/>
  <c r="H10" i="3"/>
  <c r="B45" i="2"/>
  <c r="C45" i="2"/>
  <c r="B44" i="2"/>
  <c r="C44" i="2"/>
  <c r="B43" i="2"/>
  <c r="C43" i="2"/>
  <c r="B42" i="2"/>
  <c r="C42" i="2"/>
  <c r="B41" i="2"/>
  <c r="C41" i="2"/>
  <c r="B40" i="2"/>
  <c r="C40" i="2"/>
  <c r="B39" i="2"/>
  <c r="C39" i="2"/>
  <c r="B38" i="2"/>
  <c r="C38" i="2"/>
  <c r="B36" i="2"/>
  <c r="C36" i="2"/>
  <c r="B35" i="2"/>
  <c r="C35" i="2"/>
  <c r="B34" i="2"/>
  <c r="C34" i="2"/>
  <c r="B33" i="2"/>
  <c r="C33" i="2"/>
  <c r="B32" i="2"/>
  <c r="C32" i="2"/>
  <c r="B31" i="2"/>
  <c r="C31" i="2"/>
  <c r="B30" i="2"/>
  <c r="C30" i="2"/>
  <c r="B29" i="2"/>
  <c r="C29" i="2"/>
  <c r="B28" i="2"/>
  <c r="C28" i="2"/>
  <c r="B27" i="2"/>
  <c r="C27" i="2"/>
  <c r="B25" i="2"/>
  <c r="C25" i="2"/>
  <c r="B24" i="2"/>
  <c r="C24" i="2"/>
  <c r="B23" i="2"/>
  <c r="C23" i="2"/>
  <c r="B22" i="2"/>
  <c r="C22" i="2"/>
  <c r="B21" i="2"/>
  <c r="C21" i="2"/>
  <c r="B20" i="2"/>
  <c r="C20" i="2"/>
  <c r="B19" i="2"/>
  <c r="C19" i="2"/>
  <c r="B18" i="2"/>
  <c r="C18" i="2"/>
  <c r="B17" i="2"/>
  <c r="C17" i="2"/>
  <c r="B16" i="2"/>
  <c r="C16" i="2"/>
  <c r="B15" i="2"/>
  <c r="C15" i="2"/>
  <c r="B14" i="2"/>
  <c r="C14" i="2"/>
  <c r="B13" i="2"/>
  <c r="C13" i="2"/>
  <c r="B12" i="2"/>
  <c r="C12" i="2"/>
  <c r="B11" i="2"/>
  <c r="C11" i="2"/>
  <c r="B10" i="2"/>
  <c r="C10" i="2"/>
  <c r="C108" i="1"/>
  <c r="C107" i="1"/>
  <c r="C101" i="1"/>
  <c r="C90" i="1"/>
  <c r="C91" i="1"/>
  <c r="C95" i="1"/>
  <c r="C48" i="1"/>
  <c r="C93" i="1"/>
  <c r="C89" i="1"/>
  <c r="C78" i="1"/>
  <c r="C76" i="1"/>
  <c r="C75" i="1"/>
  <c r="C71" i="1"/>
  <c r="C69" i="1"/>
  <c r="C68" i="1"/>
  <c r="C58" i="1"/>
  <c r="C57" i="1"/>
  <c r="C56" i="1"/>
  <c r="C51" i="1"/>
  <c r="C50" i="1"/>
  <c r="C47" i="1"/>
  <c r="C46" i="1"/>
  <c r="C30" i="1"/>
  <c r="C28" i="1"/>
  <c r="C22" i="1"/>
  <c r="C20" i="1"/>
  <c r="C19" i="1"/>
  <c r="C17" i="1"/>
  <c r="C16" i="1"/>
  <c r="C15" i="1"/>
  <c r="C14" i="1"/>
  <c r="C12" i="1"/>
  <c r="C11" i="1"/>
  <c r="C7" i="1"/>
</calcChain>
</file>

<file path=xl/sharedStrings.xml><?xml version="1.0" encoding="utf-8"?>
<sst xmlns="http://schemas.openxmlformats.org/spreadsheetml/2006/main" count="1085" uniqueCount="667">
  <si>
    <r>
      <t>Solvensbehov &amp; udvalgte risikonøgletal – søjle 3</t>
    </r>
    <r>
      <rPr>
        <sz val="20"/>
        <rFont val="Calibri"/>
        <family val="2"/>
      </rPr>
      <t> </t>
    </r>
  </si>
  <si>
    <r>
      <t>Indledning</t>
    </r>
    <r>
      <rPr>
        <sz val="11"/>
        <rFont val="Calibri"/>
        <family val="2"/>
      </rPr>
      <t> </t>
    </r>
  </si>
  <si>
    <t>Både koncernen Arbejdernes Landsbank og A/S Arbejdernes Landsbank er forpligtet til at offentliggøre solvensbehovet kvartalsvist. Derudover har koncernen Arbejdernes Landsbank valgt at offentliggøre udvalgte risikooplysninger (søjle 3-oplysninger) kvartalsvist. </t>
  </si>
  <si>
    <r>
      <t xml:space="preserve">Offentliggørelse af solvensbehovet for koncernen og A/S Arbejdernes Landsbank sker i medfør af </t>
    </r>
    <r>
      <rPr>
        <i/>
        <sz val="11"/>
        <rFont val="Calibri"/>
        <family val="2"/>
      </rPr>
      <t>Bekendtgørelse om opgørelse af risikoeksponeringer, kapitalgrundlag og solvensbehov</t>
    </r>
    <r>
      <rPr>
        <sz val="11"/>
        <rFont val="Segoe UI"/>
        <family val="2"/>
      </rPr>
      <t xml:space="preserve"> § 4.  </t>
    </r>
  </si>
  <si>
    <r>
      <t xml:space="preserve">Offentliggørelse af udvalgte risikonøgletal for koncernen sker i henhold til </t>
    </r>
    <r>
      <rPr>
        <i/>
        <sz val="11"/>
        <rFont val="Calibri"/>
        <family val="2"/>
      </rPr>
      <t>EU-kommissionens forordning om tilsynsmæssige krav til kreditinstitutter og investeringsselskaber</t>
    </r>
    <r>
      <rPr>
        <sz val="11"/>
        <rFont val="Calibri"/>
        <family val="2"/>
      </rPr>
      <t xml:space="preserve"> artikel 433a (søjle 3 oplysninger).  </t>
    </r>
  </si>
  <si>
    <t>Koncernen Arbejdernes Landsbank omfatter virksomhederne:  </t>
  </si>
  <si>
    <t>- A/S Arbejdernes Landsbank (moderselskab)  </t>
  </si>
  <si>
    <t>- Vestjysk Bank A/S (dattervirksomhed)  </t>
  </si>
  <si>
    <t>- AL Finans A/S (dattervirksomhed)  </t>
  </si>
  <si>
    <t>- Ejendomsselskabet Sluseholmen A/S (dattervirksomhed) </t>
  </si>
  <si>
    <r>
      <t>Indhold</t>
    </r>
    <r>
      <rPr>
        <sz val="16"/>
        <rFont val="Calibri"/>
        <family val="2"/>
      </rPr>
      <t> </t>
    </r>
  </si>
  <si>
    <r>
      <t>Kapitalgrundlag</t>
    </r>
    <r>
      <rPr>
        <sz val="11"/>
        <rFont val="Calibri"/>
        <family val="2"/>
      </rPr>
      <t> </t>
    </r>
  </si>
  <si>
    <t>Tilstrækkeligt kapitalgrundlag og solvensbehov pr. 31. marts 2022  </t>
  </si>
  <si>
    <t>Solvensbehov</t>
  </si>
  <si>
    <t>Sammensætning af lovpligtigt kapitalgrundlag</t>
  </si>
  <si>
    <t>EU CC1</t>
  </si>
  <si>
    <t>Afstemning mellem lovbestemt kapitalgrundlag og balancen i halvårsregnskabet</t>
  </si>
  <si>
    <t>EU CC2</t>
  </si>
  <si>
    <t>Geografisk fordeling af krediteksponeringer med relevans for beregning af den kontracykliske kapitalbuffer</t>
  </si>
  <si>
    <t>EU CCyB1</t>
  </si>
  <si>
    <t>Størrelsen af den institutspecifikke kontracykliske kapitalbuffer</t>
  </si>
  <si>
    <t>EU CCyB2</t>
  </si>
  <si>
    <r>
      <t>Kreditrisiko</t>
    </r>
    <r>
      <rPr>
        <sz val="11"/>
        <rFont val="Calibri"/>
        <family val="2"/>
      </rPr>
      <t> </t>
    </r>
  </si>
  <si>
    <t>Ikkemisligholdte og misligholdte eksponeringer og dertil knyttede bestemmelser</t>
  </si>
  <si>
    <t>EU CR1</t>
  </si>
  <si>
    <t>Løbetid på eksponeringer</t>
  </si>
  <si>
    <t>EU CR1-A</t>
  </si>
  <si>
    <t>Ændringer i beholdningen af misligholdte lån og forskud</t>
  </si>
  <si>
    <t>EU CR2</t>
  </si>
  <si>
    <t>Overblik over kreditrisikoreduktionsteknikker</t>
  </si>
  <si>
    <t>EU CR3</t>
  </si>
  <si>
    <t>Kreditrisikoeksponering og virkninger af kreditrisikoreduktionsteknikker</t>
  </si>
  <si>
    <t>EU CR4</t>
  </si>
  <si>
    <t>Standardmetoden</t>
  </si>
  <si>
    <t>EU CR5</t>
  </si>
  <si>
    <r>
      <t>Modpartsrisiko</t>
    </r>
    <r>
      <rPr>
        <sz val="11"/>
        <rFont val="Calibri"/>
        <family val="2"/>
      </rPr>
      <t> </t>
    </r>
  </si>
  <si>
    <t>Analyse af modpartskreditrisikoeksponeringer efter metode</t>
  </si>
  <si>
    <t>EU CCR1</t>
  </si>
  <si>
    <t>Transaktioner underlagt kapitalgrundlagskrav for kreditværdijusteringsrisiko</t>
  </si>
  <si>
    <t>EU CCR2</t>
  </si>
  <si>
    <t>Modpartskreditrisikoeksponeringer efter eksponeringsklasse og risikovægte</t>
  </si>
  <si>
    <t>EU CCR3</t>
  </si>
  <si>
    <t>Sammensætning af sikkerhedsstillelse for modpartskreditrisikoeksponeringer</t>
  </si>
  <si>
    <t>EU CCR5</t>
  </si>
  <si>
    <t>Modpartskreditrisikoeksponeringer</t>
  </si>
  <si>
    <t>EU CCR8</t>
  </si>
  <si>
    <r>
      <t>Markedsrisiko</t>
    </r>
    <r>
      <rPr>
        <sz val="11"/>
        <rFont val="Calibri"/>
        <family val="2"/>
      </rPr>
      <t> </t>
    </r>
  </si>
  <si>
    <t>Markedsrisiko i henhold til standardmetoden</t>
  </si>
  <si>
    <t>EU MR1</t>
  </si>
  <si>
    <t>Renterisici for aktiviteter, der ikke indgår i handelsbeholdningen</t>
  </si>
  <si>
    <t>EU IRRBB1</t>
  </si>
  <si>
    <r>
      <t>Likviditetsrisiko</t>
    </r>
    <r>
      <rPr>
        <sz val="11"/>
        <rFont val="Calibri"/>
        <family val="2"/>
      </rPr>
      <t> </t>
    </r>
  </si>
  <si>
    <t>Net stable funding ratio</t>
  </si>
  <si>
    <t>EU LIQ2</t>
  </si>
  <si>
    <r>
      <t>Gearing</t>
    </r>
    <r>
      <rPr>
        <sz val="11"/>
        <rFont val="Calibri"/>
        <family val="2"/>
      </rPr>
      <t> </t>
    </r>
  </si>
  <si>
    <t>Afstemning mellem regnskabsmæssige aktiver og gearingsgradrelevante eksponeringer oversigt</t>
  </si>
  <si>
    <t>EU LR1 - LRSum</t>
  </si>
  <si>
    <t>Oplysninger om gearingsgrad — fælles regler</t>
  </si>
  <si>
    <t>EU LR2 - LRCom</t>
  </si>
  <si>
    <t>Offentliggørelse af tilstrækkeligt kapitalgrundlag og solvensbehov pr. 30/6 2022 for Arbejdernes Landsbank, jf. Bekendtgørelse om opgørelse af risikoeksponeringer, kapitalgrundlag og solvensbehov § 4.</t>
  </si>
  <si>
    <t>Koncern</t>
  </si>
  <si>
    <t>Bank</t>
  </si>
  <si>
    <t xml:space="preserve">Mio. kr. </t>
  </si>
  <si>
    <t>pct.</t>
  </si>
  <si>
    <t xml:space="preserve">Kapital til dækning af kreditrisiko </t>
  </si>
  <si>
    <t>Kapital til dækning af markedsrisiko</t>
  </si>
  <si>
    <t>Kapital til dækning af operationel risiko</t>
  </si>
  <si>
    <t>Kapital til dækning af øvrige risici</t>
  </si>
  <si>
    <t>Tilstrækkelig kapitalgrundlag/solvensbehov jf. Lov om finansiel virksomhed §124 stk. 4</t>
  </si>
  <si>
    <t>Tillæg til tilstrækkelig kapitalgrundlag jf. lovbestemte krav</t>
  </si>
  <si>
    <t>Tilstrækkelig kapitalgrundlag/solvenskrav jf. Lov om finansiel virksomhed § 124, stk. 1 og stk. 2 nr. 1</t>
  </si>
  <si>
    <t>Egentlig kernekapital/Egentlig kernekapitalprocent</t>
  </si>
  <si>
    <t>Kernekapital/Kernekapitalprocent</t>
  </si>
  <si>
    <t>Kapitalgrundlag/Kapitalprocent</t>
  </si>
  <si>
    <t>Model</t>
  </si>
  <si>
    <t xml:space="preserve">Arbejdernes Landsbank anvender 8+-metoden til fastsættelse af det individuelle solvensbehov for såvel koncernen som banken. </t>
  </si>
  <si>
    <t xml:space="preserve">Metoden tager udgangspunkt i minimumskapitalkravet på 8 pct. af den samlede risikoeksponering (søjle I-kravet). De normale risici antages at være dækket af 8 pct. kravet. Derudover beregnes supplerende kapitalbehov for risikoområder, som vurderes ikke at være omfattet af 8 pct. kravet. Det samlede kapitalbehov fremkommer ved at addere kapitalbehovet efter 8 pct. og de supplerende kapitalbehov. </t>
  </si>
  <si>
    <t xml:space="preserve">Modellen fremgår af Finanstilsynets "Vejledning om tilstrækkelig kapitalgrundlag og solvensbehov for kreditinstitutter". </t>
  </si>
  <si>
    <t xml:space="preserve">Solvensbehovet beregnes som det samlede kapitalbehov i procent af den samlede risikoeksponering opgjort efter bestemmelserne i CRR-forordningen. </t>
  </si>
  <si>
    <t>Kapital til dækning af kreditrisiko</t>
  </si>
  <si>
    <t>Kapitalkravet til dækning af kreditrisiko opgøres som 8 % af risikoeksponeringer, der relaterer sig til kreditrisiko plus supplerende kapital til dækning af bl.a. følgende risici:
1. Koncentrationsrisiko på de 20 største eksponeringer
2. Store eksponeringer med finansielle problemer
3. Koncentrationsrisiko på brancher
4. Tilgodehavender kreditinstitutter
5. Aktier mv. uden for handelsbeholdningen
6. Øvrige kreditrisici</t>
  </si>
  <si>
    <t xml:space="preserve">Kapital til dækning af markedsrisiko </t>
  </si>
  <si>
    <t xml:space="preserve">Kapitalkravet til dækning af markedsrisiko opgøres som 8 % af risikoeksponeringer, der relaterer sig til markedsrisici plus supplerende kapital til dækning af følgende risici:
1. Markedsrisiko
2. Likviditetsrisici
3. Renterisiko udenfor handelsbeholdningen
</t>
  </si>
  <si>
    <t xml:space="preserve">Kapital til dækning af operationel risiko </t>
  </si>
  <si>
    <t xml:space="preserve">Kapital til dækning af operationel risiko er opgjort efter Basisindikatoren i CRR-forordningen artikel 315. Koncernen foretager egne beregninger af den operationelle risiko, med udgangspunkt i en model, hvor forskellige enheder i banken opstiller en række risiko-scenarier. Herudover vurderes risikoen ved informations- og kommunikationsteknologi særskilt. </t>
  </si>
  <si>
    <t xml:space="preserve">Kapital til dækning af øvrige risici </t>
  </si>
  <si>
    <t>Kapital til dækning af øvrige risici dækker over vurderinger af kapitalkrav til indtjeningsniveau, vækst i udlån, gearing, risiko for prisfald på domicil- og investeringsejendomme og øvrige forhold, herunder lovmæssige krav.</t>
  </si>
  <si>
    <t>Skema EU CC1 - Sammensætning af lovpligtigt kapitalgrundlag</t>
  </si>
  <si>
    <t xml:space="preserve"> (a)</t>
  </si>
  <si>
    <t xml:space="preserve">  (b)</t>
  </si>
  <si>
    <t>Beløb</t>
  </si>
  <si>
    <t>Kilde baseret på referencenumre/- bogstaver i balancen i henhold til den tilsynsmæssige ramme for konsolideringen</t>
  </si>
  <si>
    <t>Egentlig kernekapital: instrumenter og reserver</t>
  </si>
  <si>
    <t>Kapitalinstrumenter og overkurs ved emission i tilknytning hertil</t>
  </si>
  <si>
    <t>A) Aktiekapital</t>
  </si>
  <si>
    <t>heraf: instrumenttype 1</t>
  </si>
  <si>
    <t> </t>
  </si>
  <si>
    <t>heraf: instrumenttype 2</t>
  </si>
  <si>
    <t>heraf: instrumenttype 3</t>
  </si>
  <si>
    <t>Overført resultat</t>
  </si>
  <si>
    <t>B) Overført overskud eller underskud</t>
  </si>
  <si>
    <t>Akkumuleret anden totalindkomst (og andre reserver</t>
  </si>
  <si>
    <t>C) Akkumulerede værdiændringer og lovpligtige reserver</t>
  </si>
  <si>
    <t>EU-3a</t>
  </si>
  <si>
    <t>Midler til dækning af generelle kreditinstitutrisici</t>
  </si>
  <si>
    <t>Beløb for kvalificerede poster omhandlet i artikel 484, stk. 3, i CRR og overkurs ved emission i tilknytning hertil underlagt udfasning fra egentlig kernekapital</t>
  </si>
  <si>
    <t>Minoritetsinteresser (beløb tilladt i den konsoliderede egentlige kernekapital)</t>
  </si>
  <si>
    <t>D) Minoritetsinteresser</t>
  </si>
  <si>
    <t>EU-5a</t>
  </si>
  <si>
    <t>Uafhængigt kontrollerede foreløbige overskud fratrukket forventede udgifter eller udbytter</t>
  </si>
  <si>
    <t>Egentlig kernekapital før lovpligtige justeringer</t>
  </si>
  <si>
    <t>Egentlig kernekapital: lovpligtige justeringer</t>
  </si>
  <si>
    <t>Yderligere værdijusteringer (negativt beløb)</t>
  </si>
  <si>
    <t xml:space="preserve">Immaterielle aktiver (fratrukket tilhørende skatteforpligtelser) (negativt beløb) </t>
  </si>
  <si>
    <t>E) Immatirielle aktiver</t>
  </si>
  <si>
    <t>Ikke relevant</t>
  </si>
  <si>
    <t>Udskudte skatteaktiver, som afhænger af fremtidig rentabilitet, bortset fra aktiver, som skyldes midlertidige forskelle (fratrukket tilknyttede skatteforpligtelser, hvis betingelserne i artikel 38, stk. 3, i CRR er opfyldt) (negativt beløb)</t>
  </si>
  <si>
    <t>F) Udskudte skatteaktiver</t>
  </si>
  <si>
    <t>Dagsværdireserver i relation til gevinst eller tab på sikring af pengestrømme for finansielle instrumenter, som ikke er værdiansat til dagsværdi</t>
  </si>
  <si>
    <t>Negative beløb, der fremkommer ved beregningen af forventede tab</t>
  </si>
  <si>
    <t>Stigning i egenkapitalen, som er genereret af securitiserede aktiver (negativt beløb)</t>
  </si>
  <si>
    <t>Gevinster eller tab på forpligtelser værdiansat til dagsværdi, som skyldes ændringer i institut­ tets egen kreditsituation</t>
  </si>
  <si>
    <t>Aktiver i ydelsesbaserede pensionskasser (negativt beløb)</t>
  </si>
  <si>
    <t>Et instituts direkte, indirekte og syntetiske besiddelser af egne egentlige kernekapitalinstru­ menter (negativt beløb)</t>
  </si>
  <si>
    <t>B) Overført resultat og underskud</t>
  </si>
  <si>
    <t>Direkte, indirekte og syntetiske besiddelser af egentlige kernekapitalinstrumenter i enheder i den finansielle sektor, når disse enheder har en besiddelse i krydsejerskab med instituttet, og ejerskabet er blevet indgået for kunstigt at øge instituttets kapitalgrundlag (negativt beløb)</t>
  </si>
  <si>
    <t>Instituttets relevante direkte, indirekte og syntetiske besiddelser af egentlige kernekapital­ instrumenter i enheder i den finansielle sektor, når instituttet ikke har væsentlige investe­ ringer i disse enheder (beløb over tærsklen på 10 % og fratrukket anerkendte korte positio­ ner) (negativt beløb)</t>
  </si>
  <si>
    <t>Instituttets relevante direkte, indirekte og syntetiske besiddelser af egentlige kernekapital­ instrumenter i enheder i den finansielle sektor, når instituttet har væsentlige investeringer i disse enheder (beløb over tærsklen på 10 % og fratrukket anerkendte korte positioner) (negativt beløb)</t>
  </si>
  <si>
    <t>EU-20a</t>
  </si>
  <si>
    <t>Eksponeringsværdien af følgende poster, som opfylder betingelserne for at kunne tildeles en risikovægt på 1 250 %, hvis instituttet vælger fradragsalternativet</t>
  </si>
  <si>
    <t>EU-20b</t>
  </si>
  <si>
    <t>heraf: kvalificerede andele uden for den finansielle sektor (negativt beløb)</t>
  </si>
  <si>
    <t>EU-20c</t>
  </si>
  <si>
    <t>heraf: securitiseringspositioner (negativt beløb)</t>
  </si>
  <si>
    <t>EU-20d</t>
  </si>
  <si>
    <t>heraf: leveringsrisiko (free deliveries) (negativt beløb)</t>
  </si>
  <si>
    <t>Udskudte skatteaktiver, som skyldes midlertidige forskelle (beløb over tærsklen på 10 %, fratrukket tilknyttede skatteforpligtelser, hvis betingelserne i artikel 38, stk. 3, i CRR er opfyldt) (negativt beløb)</t>
  </si>
  <si>
    <t>Beløb, der overstiger tærsklen på 17,65 % (negativt beløb)</t>
  </si>
  <si>
    <t>heraf: instituttets direkte, indirekte og syntetiske besiddelser af egentlige kernekapitalinstru­ menter i enheder i den finansielle sektor, når instituttet har væsentlige investeringer i disse enheder</t>
  </si>
  <si>
    <t>heraf: udskudte skatteaktiver, som skyldes midlertidige forskelle</t>
  </si>
  <si>
    <t>EU-25a</t>
  </si>
  <si>
    <t>Tab i det løbende regnskabsår (negativt beløb)</t>
  </si>
  <si>
    <t>EU-25b</t>
  </si>
  <si>
    <t>Forventet skat vedrørende egentlige kernekapitalposter, undtagen når instituttet behørigt tilpasser størrelsen af de egentlige kernekapitalposter, hvis skatten reducerer det beløb, hvormed disse poster kan anvendes til dækning af risici eller tab (negativt beløb)</t>
  </si>
  <si>
    <t>Kvalificerede fradrag i hybrid kernekapital, der overstiger instituttets hybride kernekapital­ poster (negativt beløb)</t>
  </si>
  <si>
    <t>27a</t>
  </si>
  <si>
    <t>Andre lovpligtige justeringer</t>
  </si>
  <si>
    <t>Samlede lovpligtige justeringer af egentlig kernekapital</t>
  </si>
  <si>
    <t>Egentlig kernekapital</t>
  </si>
  <si>
    <t>Hybrid kernekapital: instrumenter</t>
  </si>
  <si>
    <t>G) Hybrid kernekapital</t>
  </si>
  <si>
    <t xml:space="preserve"> heraf: klassificeret som egenkapital i henhold til de gældende regnskabsstandarder</t>
  </si>
  <si>
    <t xml:space="preserve"> heraf: klassificeret som forpligtelser i henhold til de gældende regnskabsstandarder</t>
  </si>
  <si>
    <t>Beløb for kvalificerede poster omhandlet i artikel 484, stk. 4, i CRR og overkurs ved emission i tilknytning hertil underlagt udfasning fra hybrid kernekapital</t>
  </si>
  <si>
    <t>EU-33a</t>
  </si>
  <si>
    <t>Beløb for kvalificerede poster omhandlet i artikel 494a, stk. 1, i CRR underlagt udfasning fra hybrid kernekapital</t>
  </si>
  <si>
    <t>EU-33b</t>
  </si>
  <si>
    <t>Beløb for kvalificerede poster omhandlet i artikel 494b, stk. 1, i CRR underlagt udfasning fra hybrid kernekapital</t>
  </si>
  <si>
    <t>Kvalificerende kernekapital indregnet i den konsoliderede hybride kernekapital (herunder minoritetsinteresser, der ikke er indregnet i række 5), som er udstedt af datterselskaber og indehaves af tredjemand</t>
  </si>
  <si>
    <t xml:space="preserve"> heraf: instrumenter udstedt af datterselskaber og underlagt udfasning</t>
  </si>
  <si>
    <t>Hybrid kernekapital før lovpligtige justeringer</t>
  </si>
  <si>
    <t>Hybrid kernekapital: lovpligtige justeringer</t>
  </si>
  <si>
    <t>Et instituts direkte, indirekte og syntetiske besiddelser af egne hybride kernekapitalinstru­ menter (negativt beløb)</t>
  </si>
  <si>
    <t xml:space="preserve"> Direkte, indirekte og syntetiske besiddelser af hybride kernekapitalinstrumenter i enheder i den finansielle sektor, når disse enheder har en besiddelse i krydsejerskab med instituttet, og ejerskabet er blevet indgået for kunstigt at øge instituttets kapitalgrundlag (negativt beløb)</t>
  </si>
  <si>
    <t>Direkte, indirekte og syntetiske besiddelser af hybride kernekapitalinstrumenter i enheder i den finansielle sektor, når instituttet ikke har væsentlige investeringer i disse enheder (beløb over tærsklen på 10 % og fratrukket anerkendte korte positioner) (negativt beløb)</t>
  </si>
  <si>
    <t>Instituttets direkte, indirekte og syntetiske besiddelser af hybride kernekapitalinstrumenter i enheder i den finansielle sektor, når instituttet har væsentlige investeringer i disse enheder (fratrukket anerkendte korte positioner) (negativt beløb)</t>
  </si>
  <si>
    <t>Kvalificerede fradrag i supplerende kapital, der overstiger instituttets supplerende kapital­ poster (negativt beløb)</t>
  </si>
  <si>
    <t xml:space="preserve">42a </t>
  </si>
  <si>
    <t>Andre lovpligtige justeringer af den hybride kernekapital</t>
  </si>
  <si>
    <t>Samlede lovpligtige justeringer af hybrid kernekapital</t>
  </si>
  <si>
    <t>Hybrid kernekapita</t>
  </si>
  <si>
    <t>Kernekapital (kernekapital = egentlig kernekapital + hybrid kernekapital)</t>
  </si>
  <si>
    <t>Supplerende kapital: instrumenter</t>
  </si>
  <si>
    <t>Beløbet for kvalificerede poster omhandlet i artikel 484, stk. 5, i CRR og overkurs ved emission i tilknytning hertil underlagt udfasning fra supplerende kapital, jf. artikel 486, stk. 4, i CRR</t>
  </si>
  <si>
    <t>EU-47a</t>
  </si>
  <si>
    <t>Beløb for kvalificerede poster omhandlet i artikel 494a, stk. 2, i CRR underlagt udfasning fra supplerende kapital.</t>
  </si>
  <si>
    <t>EU-47b</t>
  </si>
  <si>
    <t>Beløb for kvalificerede poster omhandlet i artikel 494b, stk. 2, i CRR underlagt udfasning fra supplerende kapital.</t>
  </si>
  <si>
    <t>Kvalificerende kapitalgrundlagsinstrumenter indregnet i konsolideret supplerende kapital (herunder minoritetsinteresser, der ikke medtages i række 5 eller 34), som er udstedt af datterselskaber og indehaves af tredjemand.</t>
  </si>
  <si>
    <t>Kreditrisikojusteringer</t>
  </si>
  <si>
    <t>Supplerende kapital før lovpligtige justeringer</t>
  </si>
  <si>
    <t>Supplerende kapital: lovpligtige justeringer</t>
  </si>
  <si>
    <t>Et instituts direkte, indirekte og syntetiske besiddelser af egne supplerende kapitalinstru­ menter og efterstillede lån (negativt beløb)</t>
  </si>
  <si>
    <t>Direkte, indirekte og syntetiske besiddelser af supplerende kapitalinstrumenter og efterstillede lån i enheder i den finansielle sektor, når disse enheder har en besiddelse i krydsejerskab med instituttet, og ejerskabet er blevet indgået for kunstigt at øge instituttets kapitalgrundlag (negativt beløb)</t>
  </si>
  <si>
    <t>Direkte, indirekte og syntetiske besiddelser af supplerende kapitalinstrumenter i enheder i den finansielle sektor, når instituttet ikke har væsentlige investeringer i disse enheder (beløb over tærsklen på 10 % og fratrukket anerkendte korte positioner) (negativt beløb)</t>
  </si>
  <si>
    <t>54a</t>
  </si>
  <si>
    <t>Instituttets direkte, indirekte og syntetiske besiddelser af supplerende kapitalinstrumenter og efterstillede lån i enheder i den finansielle sektor, når instituttet har væsentlige investeringer i disse enheder (fratrukket anerkendte korte positioner) (negativt beløb)</t>
  </si>
  <si>
    <r>
      <t>EU-56a</t>
    </r>
    <r>
      <rPr>
        <sz val="8"/>
        <rFont val="Calibri"/>
        <family val="2"/>
        <scheme val="minor"/>
      </rPr>
      <t> </t>
    </r>
  </si>
  <si>
    <t>Kvalificerede fradrag i nedskrivningsrelevante passiver, som overstiger instituttets nedskriv­ ningsrelevante passiver (negativt beløb)</t>
  </si>
  <si>
    <t>EU-56b</t>
  </si>
  <si>
    <t>Andre lovpligtige justeringer af den supplerende kapital</t>
  </si>
  <si>
    <t>Samlede lovpligtige justeringer af supplerende kapital</t>
  </si>
  <si>
    <t>Supplerende kapital</t>
  </si>
  <si>
    <t>Samlet kapital (samlet kapital = kernekapital + supplerende kapital)</t>
  </si>
  <si>
    <t>Samlet risikoeksponering</t>
  </si>
  <si>
    <t>Kapitalprocenter og -krav, inkl. Buffere</t>
  </si>
  <si>
    <t xml:space="preserve">Egentlig kernekapital som en procent af samlet risikoeksponering </t>
  </si>
  <si>
    <t>Kernekapital</t>
  </si>
  <si>
    <t>Samlet kapital</t>
  </si>
  <si>
    <t>Instituttets sammenlagte kapitalkrav for egentlig kernekapital</t>
  </si>
  <si>
    <t>heraf: krav om kapitalbevaringsbuffer</t>
  </si>
  <si>
    <t>heraf: krav om kontracyklisk kapitalbuffer</t>
  </si>
  <si>
    <t>heraf: krav om systemisk risikobuffer</t>
  </si>
  <si>
    <t>EU-67a</t>
  </si>
  <si>
    <t>heraf: krav om G-SII-buffer eller O-SII-buffer</t>
  </si>
  <si>
    <t>EU-67b</t>
  </si>
  <si>
    <t>heraf: krav om yderligere kapitalgrundlag til at tage højde for andre risici end risikoen for overdreven gearing (%)</t>
  </si>
  <si>
    <t xml:space="preserve">Tilgængelig egentlig kernekapital (som en procentdel af risikoeksponeringen) efter opfyldelse af minimumskapitalkrav
</t>
  </si>
  <si>
    <t>Beløb under tærsklerne for fradrag (før risikovægtning)) </t>
  </si>
  <si>
    <t xml:space="preserve"> Direkte og indirekte besiddelser af kapitalgrundlag og nedskrivningsrelevante passiver i enheder i den finansielle sektor, når instituttet ikke har væsentlige investeringer i disse enheder (beløb under tærsklen på 10 % og fratrukket anerkendte korte positioner</t>
  </si>
  <si>
    <t>Instituttets direkte og indirekte besiddelser af egentlige kernekapitalinstrumenter i enheder i den finansielle sektor, når instituttet har væsentlige investeringer i disse enheder (beløb under tærsklen på 17,65 % og fratrukket anerkendte korte positioner)</t>
  </si>
  <si>
    <t>Udskudte skatteaktiver, som skyldes midlertidige forskelle (beløb under tærsklen på 17,65 %, fratrukket tilknyttede skatteforpligtelser, hvis betingelserne i artikel 38, stk. 3, i CRR er opfyldt)</t>
  </si>
  <si>
    <t>Gældende lofter over indregning af hensættelser i supplerende kapital</t>
  </si>
  <si>
    <t>Kreditrisikojusteringer indregnet i den supplerende kapital i forbindelse med eksponeringer opgjort efter standardmetoden (før anvendelse af loftet)</t>
  </si>
  <si>
    <t>Loft for indregning af kreditrisikojusteringer i den supplerende kapital opgjort efter stan­ dardmetoden</t>
  </si>
  <si>
    <t>Kreditrisikojusteringer indregnet i den supplerende kapital i forbindelse med eksponeringer opgjort efter IRB-metoden (før anvendelse af loftet)</t>
  </si>
  <si>
    <t>Loft for indregning af kreditrisikojusteringer i den supplerende kapital opgjort efter IRB- metoden</t>
  </si>
  <si>
    <t>Kapitalinstrumenter underlagt udfasning (kun i perioden fra den 1. januar 2014 til den 1. januar 2022)</t>
  </si>
  <si>
    <t>Nuværende loft over egentlige kernekapitalinstrumenter underlagt udfasning</t>
  </si>
  <si>
    <t>Beløb ikke indregnet i den egentlige kernekapital som følge af loft (overskridelse af loft efter indfrielse og forfald)</t>
  </si>
  <si>
    <t>Nuværende loft for hybride kernekapitalinstrumenter underlagt udfasning</t>
  </si>
  <si>
    <t>Beløb ikke indregnet i den hybride kernekapital som følge af loft (overskridelse af loft efter indfrielse og forfald)</t>
  </si>
  <si>
    <t>Nuværende loft for supplerende kapitalinstrumenter underlagt udfasning</t>
  </si>
  <si>
    <t>Beløb ikke indregnet i den supplerende kapital som følge af loft (overskridelse af loft efter indfrielse og forfald)</t>
  </si>
  <si>
    <t>Skema EU CC2 - Afstemning mellem lovbestemt kapitalgrundlag og balancen i halvårsregnskabet</t>
  </si>
  <si>
    <t>Fleksibelt skema. Rækkerne skal offentliggøres i overensstemmelse med balancen i institutternes reviderede regnskaber. Kolonnerne skal være faste, medmindre instituttet har de samme regnskabs- og tilsynsmæssige rammer for konsolidering. I så fald skal kolonne a) og b) kombineres.</t>
  </si>
  <si>
    <t>a</t>
  </si>
  <si>
    <t>b</t>
  </si>
  <si>
    <t>c</t>
  </si>
  <si>
    <t>Balance som i de offentliggjorte regnskaber</t>
  </si>
  <si>
    <t>Under tilsynsmæssig ramme for konsoliderin</t>
  </si>
  <si>
    <t>Reference</t>
  </si>
  <si>
    <t>Ved periodens udgang</t>
  </si>
  <si>
    <r>
      <t xml:space="preserve">Aktiver </t>
    </r>
    <r>
      <rPr>
        <sz val="11"/>
        <color rgb="FF000000"/>
        <rFont val="Calibri"/>
        <family val="2"/>
        <scheme val="minor"/>
      </rPr>
      <t>— Opdeling efter aktivklasser i overensstemmelse med balancen i de offentliggjorte regnskaber</t>
    </r>
  </si>
  <si>
    <t>Kassebeholdning og anfordringstilgodehavender hos centralbanker</t>
  </si>
  <si>
    <t>Tilgodehavender hos kreditinstitutter og centralbanken</t>
  </si>
  <si>
    <t>Udlån og andre tilgodehavender til amortiseret kostpris</t>
  </si>
  <si>
    <t>Obligationer til dagspris</t>
  </si>
  <si>
    <t>Aktier</t>
  </si>
  <si>
    <t>Kapitalandele i associerede virksomheder</t>
  </si>
  <si>
    <t>Aktiver tilknyttet puljeordninger</t>
  </si>
  <si>
    <t>Immaterielle aktiver</t>
  </si>
  <si>
    <t>E</t>
  </si>
  <si>
    <t>Grunde og bygninger</t>
  </si>
  <si>
    <t>Øvrige materielle aktiver</t>
  </si>
  <si>
    <t>Aktuelle Skatteaktiver</t>
  </si>
  <si>
    <t>Udskudte skatteaktiver</t>
  </si>
  <si>
    <t>F</t>
  </si>
  <si>
    <t>Aktiver i midlertidig besiddelse</t>
  </si>
  <si>
    <t>Andre aktiver</t>
  </si>
  <si>
    <t>Periodeafgrænsningsposter</t>
  </si>
  <si>
    <r>
      <t xml:space="preserve">Passiver </t>
    </r>
    <r>
      <rPr>
        <sz val="11"/>
        <color rgb="FF000000"/>
        <rFont val="Calibri"/>
        <family val="2"/>
        <scheme val="minor"/>
      </rPr>
      <t>— Opdeling efter passivklasser i overensstemmelse med balancen i de offentliggjorte regnskaber</t>
    </r>
  </si>
  <si>
    <t>Gæld til kreditinstitter og centralbanker</t>
  </si>
  <si>
    <t>Indlån og anden gæld</t>
  </si>
  <si>
    <t>Indlån i puljeordninger</t>
  </si>
  <si>
    <t>Udstedte obligationer til amortiseret kostpris</t>
  </si>
  <si>
    <t>Aktuelle skatteforpligtelser</t>
  </si>
  <si>
    <t>Andre passiver</t>
  </si>
  <si>
    <t>Hensatte forpligtelser</t>
  </si>
  <si>
    <t>Efterstillet kapitalindskud</t>
  </si>
  <si>
    <t>Aktiekapital</t>
  </si>
  <si>
    <t>Aktionærerenes kapital</t>
  </si>
  <si>
    <t xml:space="preserve">   Heraf aktiekapital</t>
  </si>
  <si>
    <t>A</t>
  </si>
  <si>
    <t xml:space="preserve">   Heraf akkumulerede værdiændringer og vedtægtsmæssige reserver</t>
  </si>
  <si>
    <t>C</t>
  </si>
  <si>
    <t xml:space="preserve">   Heraf overførst overskud og underskud</t>
  </si>
  <si>
    <t>B</t>
  </si>
  <si>
    <t>Øvrige reserver</t>
  </si>
  <si>
    <t>G</t>
  </si>
  <si>
    <t>Minoritetsinteresser</t>
  </si>
  <si>
    <t>D</t>
  </si>
  <si>
    <t>Egenkapital i alt</t>
  </si>
  <si>
    <t>Passiver i alt</t>
  </si>
  <si>
    <t>Skema EU CCyB1 - Geografisk fordeling af krediteksponeringer, der er relevante for beregningen af den kontracykliske kapitalbuffer</t>
  </si>
  <si>
    <t>d</t>
  </si>
  <si>
    <t>e</t>
  </si>
  <si>
    <t>f</t>
  </si>
  <si>
    <t>g</t>
  </si>
  <si>
    <t>h</t>
  </si>
  <si>
    <t>i</t>
  </si>
  <si>
    <t>j</t>
  </si>
  <si>
    <t>k</t>
  </si>
  <si>
    <t>l</t>
  </si>
  <si>
    <t>m</t>
  </si>
  <si>
    <t>Generelle krediteksponeringer</t>
  </si>
  <si>
    <t>Relevante krediteksponeringer — Markedsrisiko</t>
  </si>
  <si>
    <t>Securitiseringseksponeringer — Værdi af eksponeringer uden for handelsbeholdningen</t>
  </si>
  <si>
    <t>Eksponeringsværdi i alt</t>
  </si>
  <si>
    <t>Kapitalgrundlagskrav</t>
  </si>
  <si>
    <t>Risikovægtede eksponeringer</t>
  </si>
  <si>
    <t>Vægte for kapitalgrundlagskrav (%)</t>
  </si>
  <si>
    <t>Kontracyklisk buffer-sats (%)</t>
  </si>
  <si>
    <t>Eksponeringsværdi opgjort efter standardmetoden</t>
  </si>
  <si>
    <t>Eksponeringsværdi opgjort efter IRB-metoden</t>
  </si>
  <si>
    <t>Sum af lange og korte positioner af eksponeringer i handelsbeholdningen for standardmetoden</t>
  </si>
  <si>
    <t>Værdi af eksponeringer i handelsbeholdningen for interne modeller</t>
  </si>
  <si>
    <t>Relevante krediteksponeringer Kreditrisiko</t>
  </si>
  <si>
    <t>Relevante krediteksponeringer  Markedsrisiko</t>
  </si>
  <si>
    <t>Relevante krediteksponeringer — Securitiseringspositioner uden for handelsbeholdningen</t>
  </si>
  <si>
    <t>I alt</t>
  </si>
  <si>
    <t>010</t>
  </si>
  <si>
    <t>Opdeling efter land:</t>
  </si>
  <si>
    <t>Danmark</t>
  </si>
  <si>
    <t>Tyskland</t>
  </si>
  <si>
    <t>020</t>
  </si>
  <si>
    <t>Total</t>
  </si>
  <si>
    <t>Skema EU CCyB2 - Størrelsen af den institutspecifikke kontracykliske kapitalbuffer</t>
  </si>
  <si>
    <t>Samlet risiko-eksponering</t>
  </si>
  <si>
    <t>Institutspecifik kontracyklisk kapitalbuffersats</t>
  </si>
  <si>
    <t>Krav til den institutspecifikke kontracykliske kapitalbuffert</t>
  </si>
  <si>
    <t>Skema EU CR1: Ikkemisligholdte og misligholdte eksponeringer og dertil knyttede bestemmelser.</t>
  </si>
  <si>
    <t>n</t>
  </si>
  <si>
    <t>o</t>
  </si>
  <si>
    <t>Regnskabsmæssig bruttoværdi/nominel værdi</t>
  </si>
  <si>
    <t>Akkumulerede værdiforringelser, akkumulerede negative ændringer i dagsværdi på grund af kreditrisiko og hensættelser</t>
  </si>
  <si>
    <t>Akkumulerede delvise afskrivninger</t>
  </si>
  <si>
    <t>Sikkerhedsstillelser og modtagne finansielle garantier</t>
  </si>
  <si>
    <t>Ikke-misligholdte eksponeringer</t>
  </si>
  <si>
    <t>Misligholdte eksponeringer</t>
  </si>
  <si>
    <t>Ikkemisligholdte eksponeringer – akkumulerede værdiforringelser og hensættelser</t>
  </si>
  <si>
    <t>Misligholdte eksponeringer – akkumulerede værdiforringelser, akkumulerede negative ændringer i dagsværdi på grund af kreditrisiko og hensættelser</t>
  </si>
  <si>
    <t>På ikkemisligholdte eksponeringer</t>
  </si>
  <si>
    <t>På misligholdte eksponeringer</t>
  </si>
  <si>
    <t>Heraf fase 1</t>
  </si>
  <si>
    <t>Heraf fase 2</t>
  </si>
  <si>
    <t>Heraf fase 3</t>
  </si>
  <si>
    <t>005</t>
  </si>
  <si>
    <t>Kassebeholdninger i centralbanker og andre anfordringsindskud</t>
  </si>
  <si>
    <t>Lån og forskud</t>
  </si>
  <si>
    <t>Centralbanker</t>
  </si>
  <si>
    <t>030</t>
  </si>
  <si>
    <t>Centralregeringer</t>
  </si>
  <si>
    <t>040</t>
  </si>
  <si>
    <t>Kreditinstitutter</t>
  </si>
  <si>
    <t>050</t>
  </si>
  <si>
    <t>Andre finansielle selskaber</t>
  </si>
  <si>
    <t>060</t>
  </si>
  <si>
    <t>Ikkefinansielle selskaber</t>
  </si>
  <si>
    <t>070</t>
  </si>
  <si>
    <t xml:space="preserve">          Heraf SMV'er</t>
  </si>
  <si>
    <t>080</t>
  </si>
  <si>
    <t xml:space="preserve">	Husstande</t>
  </si>
  <si>
    <t>090</t>
  </si>
  <si>
    <t>Gældsværdipapirer</t>
  </si>
  <si>
    <t>100</t>
  </si>
  <si>
    <t>110</t>
  </si>
  <si>
    <t>120</t>
  </si>
  <si>
    <t>130</t>
  </si>
  <si>
    <t>140</t>
  </si>
  <si>
    <t>150</t>
  </si>
  <si>
    <t>Ikkebalanceførte eksponeringer</t>
  </si>
  <si>
    <t>160</t>
  </si>
  <si>
    <t>170</t>
  </si>
  <si>
    <t>180</t>
  </si>
  <si>
    <t>190</t>
  </si>
  <si>
    <t>200</t>
  </si>
  <si>
    <t>210</t>
  </si>
  <si>
    <t>220</t>
  </si>
  <si>
    <t>Skema EU CR1-A: Løbetid på eksponeringer</t>
  </si>
  <si>
    <t>Nettoeksponeringsværdi</t>
  </si>
  <si>
    <t>På anfordring</t>
  </si>
  <si>
    <t>&lt;= 1 år</t>
  </si>
  <si>
    <t>&gt; 1 år &lt;= 5 år</t>
  </si>
  <si>
    <t>&gt; 5 år</t>
  </si>
  <si>
    <t>Ingen fastsat løbetid</t>
  </si>
  <si>
    <t xml:space="preserve">	Gældsværdipapirer</t>
  </si>
  <si>
    <t>0,0</t>
  </si>
  <si>
    <t>Skema EU CR2: Ændringer i beholdningen af misligholdte lån og forskud</t>
  </si>
  <si>
    <t xml:space="preserve">Regnskabsmæssig bruttoværdi           </t>
  </si>
  <si>
    <t>Oprindelig beholdning af misligholdte lån og forskud</t>
  </si>
  <si>
    <t xml:space="preserve">	Indgående pengestrømme til misligholdte porteføljer</t>
  </si>
  <si>
    <t xml:space="preserve">	Udgående pengestrømme fra misligholdte porteføljer</t>
  </si>
  <si>
    <t xml:space="preserve">	Udgående pengestrømme som følge af afskrivninger</t>
  </si>
  <si>
    <t>Udgående pengestrøm, andre situationer</t>
  </si>
  <si>
    <t>Slutbeholdning af misligholdte lån og forskud</t>
  </si>
  <si>
    <t>Skema EU CR3 - Overblik over kreditrisikoreduktionsteknikker Offentliggørelse af anvendelsen af kreditrisikoreduktionsteknikker</t>
  </si>
  <si>
    <t xml:space="preserve">
Usikret regnskabsmæssig værdi</t>
  </si>
  <si>
    <t>Sikret regnskabsmæssig værdi</t>
  </si>
  <si>
    <r>
      <rPr>
        <sz val="11"/>
        <color rgb="FF000000"/>
        <rFont val="Calibri"/>
        <family val="2"/>
      </rPr>
      <t xml:space="preserve">Heraf sikret </t>
    </r>
    <r>
      <rPr>
        <b/>
        <sz val="11"/>
        <color rgb="FF000000"/>
        <rFont val="Calibri"/>
        <family val="2"/>
      </rPr>
      <t>ved sikkerhedsstillelse:</t>
    </r>
  </si>
  <si>
    <r>
      <t xml:space="preserve">Heraf sikret ved </t>
    </r>
    <r>
      <rPr>
        <b/>
        <sz val="11"/>
        <color rgb="FF000000"/>
        <rFont val="Calibri"/>
        <family val="2"/>
      </rPr>
      <t>finansielle garantier</t>
    </r>
  </si>
  <si>
    <r>
      <t>Heraf sikret ved</t>
    </r>
    <r>
      <rPr>
        <sz val="11"/>
        <color theme="1"/>
        <rFont val="Calibri"/>
        <family val="2"/>
      </rPr>
      <t xml:space="preserve"> </t>
    </r>
    <r>
      <rPr>
        <b/>
        <sz val="11"/>
        <color theme="1"/>
        <rFont val="Calibri"/>
        <family val="2"/>
      </rPr>
      <t>kreditderivater</t>
    </r>
  </si>
  <si>
    <t xml:space="preserve">     Heraf misligholdte eksponeringer</t>
  </si>
  <si>
    <t>EU-5</t>
  </si>
  <si>
    <t xml:space="preserve">            Heraf misligholdt</t>
  </si>
  <si>
    <t>Skema EU CR4 — Standardmetode — Kreditrisikoeksponering og virkninger af kreditrisikoreduktionsteknikker</t>
  </si>
  <si>
    <t>Eksponeringsklasser</t>
  </si>
  <si>
    <t>Eksponeringer inden kreditkonvertingsfaktorer og inden kreditrisikoreduktionsteknikker</t>
  </si>
  <si>
    <t>Eksponeringer efter konverteringsfaktorer og efter kreditrisikoreduktionsteknikker</t>
  </si>
  <si>
    <t>Risikovægtede aktiver og tæthed af risikovægtede aktiver</t>
  </si>
  <si>
    <t>Balanceførte eksponeringer</t>
  </si>
  <si>
    <t>Risikovægtede aktiver</t>
  </si>
  <si>
    <t>Tæthed af risikovægtede aktiver (%)</t>
  </si>
  <si>
    <t>Centralregeringer eller centralbanker</t>
  </si>
  <si>
    <t>Regionale eller lokale myndigheder</t>
  </si>
  <si>
    <t>Offentlige enheder</t>
  </si>
  <si>
    <t>Multilaterale udviklingsbanker</t>
  </si>
  <si>
    <t>Internationale oganisationer</t>
  </si>
  <si>
    <t>Institutter</t>
  </si>
  <si>
    <t>Selskaber</t>
  </si>
  <si>
    <t>Detail</t>
  </si>
  <si>
    <t>Sikret ved pant i fast ejendom</t>
  </si>
  <si>
    <t>Eksponeringer forbundet med særlig høj risiko</t>
  </si>
  <si>
    <t>Særligt dækkede obligationer og særligt dækkede realkreditobligationer</t>
  </si>
  <si>
    <t>Institutter og selskaber med kortsigtet kreditvurdering</t>
  </si>
  <si>
    <t>CIU'er</t>
  </si>
  <si>
    <t>Andre poster</t>
  </si>
  <si>
    <t>I ALT</t>
  </si>
  <si>
    <t>Skema CR5 — Standardmetode</t>
  </si>
  <si>
    <t xml:space="preserve"> Exposure classes - Mio. kr. </t>
  </si>
  <si>
    <t>Risikovægt</t>
  </si>
  <si>
    <t>Heraf ikke-ratede</t>
  </si>
  <si>
    <t>Andre</t>
  </si>
  <si>
    <t>p</t>
  </si>
  <si>
    <t>q</t>
  </si>
  <si>
    <t>Skema EU CCR1 - Analyse af modpartskreditrisikoeksponeringer efter metode</t>
  </si>
  <si>
    <t>Fast format</t>
  </si>
  <si>
    <t>Genanskaffelsesomkostninger</t>
  </si>
  <si>
    <t>Potentiel fremtidig eksponering</t>
  </si>
  <si>
    <t>Faktisk forventet positiv eksponering</t>
  </si>
  <si>
    <t>Alfa anvendt til beregning af en regulerings- mæssig eksponeringsværdi</t>
  </si>
  <si>
    <t>Eksponeringsværdi inden anvendelse af kreditrisikoreduktionsteknikker</t>
  </si>
  <si>
    <t>Eksponerings- værdi efter anvendelse af kreditrisikoreduktionsteknikker</t>
  </si>
  <si>
    <t>Eksponerings- værdi</t>
  </si>
  <si>
    <r>
      <t>EU</t>
    </r>
    <r>
      <rPr>
        <sz val="10"/>
        <color rgb="FFFF0000"/>
        <rFont val="Arial"/>
        <family val="2"/>
      </rPr>
      <t>-</t>
    </r>
    <r>
      <rPr>
        <sz val="10"/>
        <rFont val="Arial"/>
        <family val="2"/>
      </rPr>
      <t>1</t>
    </r>
  </si>
  <si>
    <t>EU — Den oprindelige eksponeringsmetode (for derivater)</t>
  </si>
  <si>
    <t>1.4</t>
  </si>
  <si>
    <r>
      <t>EU</t>
    </r>
    <r>
      <rPr>
        <sz val="10"/>
        <color rgb="FFFF0000"/>
        <rFont val="Arial"/>
        <family val="2"/>
      </rPr>
      <t>-</t>
    </r>
    <r>
      <rPr>
        <sz val="10"/>
        <rFont val="Arial"/>
        <family val="2"/>
      </rPr>
      <t>2</t>
    </r>
  </si>
  <si>
    <t>EU — forenklet standardmetode for modpartskreditrisiko (for derivater)</t>
  </si>
  <si>
    <t>Standardmetode for modpartskreditrisiko (for derivater)</t>
  </si>
  <si>
    <t xml:space="preserve">Metoden med interne modeller (for derivater og værdipapirfinansieringstransaktioner)
</t>
  </si>
  <si>
    <t>2a</t>
  </si>
  <si>
    <t>Heraf nettinggrupper for værdipapirfinansieringstransaktione</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</si>
  <si>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</si>
  <si>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</si>
  <si>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</si>
  <si>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</si>
  <si>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</si>
  <si>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</si>
  <si>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</si>
  <si>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Skema EU CCR2 – Transaktioner underlagt kapitalgrundlagskrav for kreditværdijusteringsrisiko</t>
  </si>
  <si>
    <t>Eksponeringsværdi</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</si>
  <si>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</si>
  <si>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</si>
  <si>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</si>
  <si>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</si>
  <si>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t>EU-4</t>
  </si>
  <si>
    <t>Transaktioner underlagt den alternative metode (baseret på den oprindelige eksponeringsmetode)</t>
  </si>
  <si>
    <t xml:space="preserve">Samlet antal transaktioner underlagt kapitalgrundlagskrav for kreditværdijusteringsrisiko
</t>
  </si>
  <si>
    <t>Skema EU CCR3 — standardmetoden — modpartskreditrisikoeksponeringer efter eksponeringsklasse og risikovægte</t>
  </si>
  <si>
    <t xml:space="preserve">
Eksponeringsklasser - Mio. kr. 
</t>
  </si>
  <si>
    <t xml:space="preserve">	
Eksponeringsværdi i alt</t>
  </si>
  <si>
    <t xml:space="preserve">	Eksponeringsværdi i alt</t>
  </si>
  <si>
    <t>Skema EU CCR5 — Sammensætning af sikkerhedsstillelse for modpartskreditrisikoeksponeringer</t>
  </si>
  <si>
    <t>Faste kolonner</t>
  </si>
  <si>
    <t>Sikkerhedsstillelse anvendt i derivattransaktioner</t>
  </si>
  <si>
    <t>Sikkerhedsstillelse anvendt i værdipapirfinansieringstransaktioner</t>
  </si>
  <si>
    <t>Collateral type</t>
  </si>
  <si>
    <t>Dagsværdi af modtagne sikkerheder</t>
  </si>
  <si>
    <t>Dagsværdi af stillede sikkerheder</t>
  </si>
  <si>
    <t>Adskilt</t>
  </si>
  <si>
    <t>Ikke-adskilt</t>
  </si>
  <si>
    <t>Kontanter — national valuta</t>
  </si>
  <si>
    <t>Kontanter – andre valutaer</t>
  </si>
  <si>
    <t xml:space="preserve">	Indenlandsk statsgæld</t>
  </si>
  <si>
    <t xml:space="preserve"> </t>
  </si>
  <si>
    <t>Anden statsgæld</t>
  </si>
  <si>
    <t>Gæld fra statslige myndigheder</t>
  </si>
  <si>
    <t xml:space="preserve">  </t>
  </si>
  <si>
    <t>Virksomhedsobligationer</t>
  </si>
  <si>
    <t>Aktieinstrumenter</t>
  </si>
  <si>
    <t>Anden sikkerhedsstillelse</t>
  </si>
  <si>
    <t>Skema EU CCR8 Modpartskreditrisikoeksponeringer</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</si>
  <si>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</si>
  <si>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</si>
  <si>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</si>
  <si>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</si>
  <si>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</si>
  <si>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</si>
  <si>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 xml:space="preserve">	Adskilt initialmargen</t>
  </si>
  <si>
    <t>Ikke-adskilt initialmargen</t>
  </si>
  <si>
    <t>Indbetalte bidrag til misligholdelsesfonde</t>
  </si>
  <si>
    <t>Ikke-indbetalte bidrag til misligholdelsesfonde</t>
  </si>
  <si>
    <t>Eksponeringer mod ikke-QCCP'er (i alt)</t>
  </si>
  <si>
    <t xml:space="preserve">	Eksponeringer for handel hos ikke-QCCP'er (undtagen initialmargen og bidrag til misligholdelsesfond) heraf</t>
  </si>
  <si>
    <t>Skema EU MR1 - Markedsrisiko i henhold til standardmetoden</t>
  </si>
  <si>
    <t>Risikovægtede eksponeringer (RWEA)</t>
  </si>
  <si>
    <t>Direkte produkter</t>
  </si>
  <si>
    <t>Renterisiko (generel og specifik)</t>
  </si>
  <si>
    <t>Aktierisiko (generel og specifik)</t>
  </si>
  <si>
    <t>Valutarisiko</t>
  </si>
  <si>
    <t>Råvarerisiko</t>
  </si>
  <si>
    <t>Optioner</t>
  </si>
  <si>
    <t>Forenklet metode</t>
  </si>
  <si>
    <t>Delta plus-metode</t>
  </si>
  <si>
    <t>Scenario-metode</t>
  </si>
  <si>
    <t>Securitisering (specifik risiko)</t>
  </si>
  <si>
    <t>Skema EU IRRBB1 — Renterisici for aktiviteter, der ikke indgår i handelsbeholdningen</t>
  </si>
  <si>
    <t>Stødscenarier i forbindelse med tils (mio. kr.)</t>
  </si>
  <si>
    <t>Ændringer i den økonomiske værdi af kapitalgrundlaget</t>
  </si>
  <si>
    <t>Ændringer i nettorenteindtægterne</t>
  </si>
  <si>
    <t>Indeværende periode</t>
  </si>
  <si>
    <t>Foregående periode</t>
  </si>
  <si>
    <t>Parallelt opad</t>
  </si>
  <si>
    <t>Parallelt nedad</t>
  </si>
  <si>
    <t xml:space="preserve">Steepener </t>
  </si>
  <si>
    <t>Flattener</t>
  </si>
  <si>
    <t>Korte renter opad</t>
  </si>
  <si>
    <t xml:space="preserve">	Korte renter nedad</t>
  </si>
  <si>
    <t>Skema EU LIQ2: Net stable funding ratio</t>
  </si>
  <si>
    <t>I overensstemmelse med artikel 451a, stk. 3, i CRR</t>
  </si>
  <si>
    <t>Uvægtet værdi efter restløbetid</t>
  </si>
  <si>
    <t>Vægtet værdi</t>
  </si>
  <si>
    <t>Ingen løbetid</t>
  </si>
  <si>
    <t>&lt; 6 måneder</t>
  </si>
  <si>
    <t>6 måneder til &lt; 1 år</t>
  </si>
  <si>
    <t>≥ 1 år</t>
  </si>
  <si>
    <t>Poster vedrørende tilgængelig stabil finansiering (ASF)</t>
  </si>
  <si>
    <t>Kapitalposter og -instrumenter</t>
  </si>
  <si>
    <t xml:space="preserve"> -   </t>
  </si>
  <si>
    <t>Kapitalgrundlag</t>
  </si>
  <si>
    <t>Andre kapitalinstrumenter</t>
  </si>
  <si>
    <t>Detailindskud</t>
  </si>
  <si>
    <t>Stabile indskud</t>
  </si>
  <si>
    <t>Mindre stabile indskud</t>
  </si>
  <si>
    <t>Engrosfinansiering:</t>
  </si>
  <si>
    <t xml:space="preserve">	Transaktionsrelaterede indskud</t>
  </si>
  <si>
    <t xml:space="preserve">	Anden engrosfinansiering</t>
  </si>
  <si>
    <t xml:space="preserve">	Indbyrdes afhængige passiver</t>
  </si>
  <si>
    <t>Andre passiver:</t>
  </si>
  <si>
    <t>NSFR-derivatforpligtelser</t>
  </si>
  <si>
    <t xml:space="preserve">	Alle øvrige passiver og kapitalinstrumenter, der ikke indgår i ovenstående kategorier</t>
  </si>
  <si>
    <t>Tilgængelig stabil finansiering (ASF) i alt</t>
  </si>
  <si>
    <t>Poster vedrørende krævet stabil finansiering (RSF)</t>
  </si>
  <si>
    <t>Likvide aktiver af høj kvalitet (HQLA) i alt</t>
  </si>
  <si>
    <t>EU-15a</t>
  </si>
  <si>
    <t>Aktiver, der er behæftede for en restløbetid på et år eller mere i en sikkerhedspulje</t>
  </si>
  <si>
    <t>Indskud i andre finansielle institutter til transaktionsrelaterede formål</t>
  </si>
  <si>
    <t>Ikke-misligholdte lån og værdipapirer:</t>
  </si>
  <si>
    <t>Værdipapirfinansieringstransaktioner, der ikke er misligholdt, med finansielle kunder, og som er sikret ved likvide aktiver af høj kvalitet på niveau 1, der er underlagt et haircut på 0 %</t>
  </si>
  <si>
    <t>Værdipapirfinansieringstransaktioner med finansielle kunder, der ikke er misligholdt, og som er sikret ved andre aktiver og lån og forskud til finansieringsinstitutter</t>
  </si>
  <si>
    <t>Lån, der ikke er misligholdt, til ikkefinansielle erhvervskunder, til detailkunder og små erhvervskunder og til stater og offentlige enheder, heraf:</t>
  </si>
  <si>
    <t>Med en risikovægt på mindre end eller lig med 35 % i henhold til Basel II-standardmetoden for kreditrisiko</t>
  </si>
  <si>
    <t>Ikke-misligholdte realkreditlån i beboelsesejendomme, heraf:</t>
  </si>
  <si>
    <t>Andre lån og værdipapirer, der ikke er misligholdt, og som ikke kan betragtes som likvide aktiver af høj kvalitet, herunder børsnoterede aktier og balanceførte handelsfinansieringsprodukter</t>
  </si>
  <si>
    <t xml:space="preserve">	Indbyrdes afhængige aktiver</t>
  </si>
  <si>
    <t>Andre aktiver:</t>
  </si>
  <si>
    <t>Fysisk handlede råvarer</t>
  </si>
  <si>
    <t>Aktiver stillet som initialmargen for derivatkontrakter og bidrag til CCP'ers misligholdelsesfonde</t>
  </si>
  <si>
    <r>
      <t>NSFR-derivataktiver</t>
    </r>
    <r>
      <rPr>
        <sz val="11"/>
        <color theme="1"/>
        <rFont val="Calibri Light"/>
        <family val="2"/>
        <scheme val="major"/>
      </rPr>
      <t> </t>
    </r>
  </si>
  <si>
    <t>NSFR-derivatforpligtelser før fradrag af stillet variationsmargen</t>
  </si>
  <si>
    <t>Alle øvrige aktiver, der ikke indgår i ovenstående kategorier</t>
  </si>
  <si>
    <t>Ikke-balanceførte poster</t>
  </si>
  <si>
    <t>Krævet stabil finansiering i alt</t>
  </si>
  <si>
    <t>Net stable funding ratio (%)</t>
  </si>
  <si>
    <t>Skema EU LR1 - LRSum: Afstemning mellem regnskabsmæssige aktiver og gearingsgradrelevante eksponeringer — oversigt</t>
  </si>
  <si>
    <t>Relevant beløb</t>
  </si>
  <si>
    <t xml:space="preserve">	Samlede aktiver, jf. de offentliggjorte regnskaber</t>
  </si>
  <si>
    <t>Justering for enheder, der er konsolideret med henblik på regnskabsførelse, men som ikke er omfattet af den tilsynsmæssige konsolidering</t>
  </si>
  <si>
    <t xml:space="preserve">	(Justeringer for securitiserede eksponeringer, der opfylder de operationelle krav for anerkendelse af væsentlig risikooverførsel)</t>
  </si>
  <si>
    <t>(Justering for midlertidig fritagelse af eksponeringer mod centralbanker (hvis det er relevant))</t>
  </si>
  <si>
    <t>(Justering for aktiver under forvaltning (fiduciary assets), som indregnes på instituttets balance ifølge de gældende regnskabsregler, men ikke medtages i det samlede eksponeringsmål. jf. artikel 429a, stk. 1, litra i), i CRR)</t>
  </si>
  <si>
    <t>Justering for almindelige køb og salg af finansielle aktiver, der bogføres efter handelsdatoen</t>
  </si>
  <si>
    <t>Justering for kvalificerede cash pool-transaktioner</t>
  </si>
  <si>
    <t>Justering for afledte finansielle instrumenter</t>
  </si>
  <si>
    <t>Justering for værdipapirfinansieringstransaktioner (SFT'er)</t>
  </si>
  <si>
    <t>Justering for ikke-balanceførte poster (dvs. konvertering til ikke-balanceførte eksponeringer i form af kreditækvivalente beløb)</t>
  </si>
  <si>
    <t>(Justering for justeringer som følge af forsigtig værdiansættelse og specifikke og generelle hensættelser, der har reduceret kernekapitalen)</t>
  </si>
  <si>
    <t>EU-11a</t>
  </si>
  <si>
    <t>(Justering for eksponeringer udelukket fra det samlede eksponeringsmål, jf. artikel 429a, stk. 1, litra c), i CRR)</t>
  </si>
  <si>
    <t>EU-11b</t>
  </si>
  <si>
    <t>(Justering for eksponeringer udelukket fra det samlede eksponeringsmål, jf. artikel 429a, stk. 1, litra j), i CRR)</t>
  </si>
  <si>
    <t>Andre justeringer</t>
  </si>
  <si>
    <t>Samlet eksponeringsmål</t>
  </si>
  <si>
    <t>Skema EU LR2 - LRCom: Oplysninger om gearingsgrad — fælles regler</t>
  </si>
  <si>
    <t>Gearingsgradrelevante eksponeringer</t>
  </si>
  <si>
    <t>Q2 2022</t>
  </si>
  <si>
    <t>Balanceførte eksponeringer (ekskl. derivater og SFT'er)</t>
  </si>
  <si>
    <t>Balanceførte poster (ekskl. derivater og SFT'er, men inkl. sikkerhedsstillelse)</t>
  </si>
  <si>
    <t>Gross-up for sikkerhedsstillelse i forbindelse med derivatkontrakter, hvis fratrukket i de balanceførte aktiver i henhold til de gældende regnskabsregler</t>
  </si>
  <si>
    <t xml:space="preserve">	(Fradrag af aktiver i form af fordringer for likvid variationsmargen stillet i forbindelse med derivattransaktioner)</t>
  </si>
  <si>
    <t xml:space="preserve">	(Justering for værdipapirer modtaget i værdipapirfinansieringstransaktioner, og som indregnes som aktiver)</t>
  </si>
  <si>
    <t>(Generelle kreditrisikojusteringer i forbindelse med balanceførte poster)</t>
  </si>
  <si>
    <t>(Værdien af aktiver fratrukket ved opgørelsen af kernekapital)</t>
  </si>
  <si>
    <t>Samlede balanceførte eksponeringer (ekskl. derivater og SFT'er)</t>
  </si>
  <si>
    <t>Derivateksponeringer</t>
  </si>
  <si>
    <t>Genanskaffelsesomkostninger i forbindelse med derivattransaktioner opgjort efter standardmetoden for modpartskreditrisiko (dvs. fratrukket godkendt likvid variationsmargen)</t>
  </si>
  <si>
    <t>EU-8a</t>
  </si>
  <si>
    <t>Undtagelse for derivater: genanskaffelsesomkostningsandel i henhold til den forenklede standardmetode</t>
  </si>
  <si>
    <t>Tillægsbeløb for potentiel fremtidig eksponering knyttet til derivattransaktioner opgjort efter standardmetoden for modpartskreditrisiko</t>
  </si>
  <si>
    <t>EU-9a</t>
  </si>
  <si>
    <t>Undtagelse for derivater: andel af potentiel fremtidig eksponering i henhold til den forenklede standardmetode</t>
  </si>
  <si>
    <t>EU-9b</t>
  </si>
  <si>
    <t>Eksponering bestemt efter den oprindelige eksponeringsmetode</t>
  </si>
  <si>
    <t>(Ikke medregnet CCP-element af kundeclearede handelseksponeringer) (standardmetode for modpartskreditrisiko)</t>
  </si>
  <si>
    <t>EU-10a</t>
  </si>
  <si>
    <t>(Ikke medregnet CCP-element af kundeclearede handelseksponeringer) (forenklet standardmetode)</t>
  </si>
  <si>
    <t>EU-10b</t>
  </si>
  <si>
    <t>(-) Ikke medregnet CCP-element af kundeclearede handelseksponeringer (oprindelig eksponeringsmetode)</t>
  </si>
  <si>
    <t>Justeret faktisk nominel værdi af solgte kreditderivater</t>
  </si>
  <si>
    <t>(Justerede faktiske nominelle værdijusteringer og fradrag af tillæg for solgte kreditderivater)</t>
  </si>
  <si>
    <t xml:space="preserve">	Derivateksponeringer i alt</t>
  </si>
  <si>
    <t>Eksponeringer i forbindelse med værdipapirfinansieringstransaktioner (SFT)</t>
  </si>
  <si>
    <t>Bruttoaktiver, der er indgået i SFT'er (uden netting), efter justering for regnskabsmæssige transaktioner vedrørende salg</t>
  </si>
  <si>
    <t>(Kontantgæld og kontantfordringer (nettede beløb) hidrørende fra bruttoaktiver, der er indgået i SFT'er)</t>
  </si>
  <si>
    <t>Eksponering mod modpartskreditrisiko for SFT-aktiver</t>
  </si>
  <si>
    <t>EU-16a</t>
  </si>
  <si>
    <t>Undtagelse for SFT'er: Modpartskreditrisikoeksponering, jf. artikel 429e, stk. 5, og artikel 222 i CRR</t>
  </si>
  <si>
    <t>Eksponeringer i forbindelse med agenttransaktioner</t>
  </si>
  <si>
    <t>EU-17a</t>
  </si>
  <si>
    <t>(Ikke medregnet CCP-element af kundeclearet SFT-eksponering)</t>
  </si>
  <si>
    <t>Eksponeringer i forbindelse med værdipapirfinansieringstransaktioner i alt</t>
  </si>
  <si>
    <t>Andre ikke-balanceførte eksponeringer</t>
  </si>
  <si>
    <t>Ikke-balanceførte eksponeringer til den notionelle bruttoværdi</t>
  </si>
  <si>
    <t xml:space="preserve">	(Justeringer for konvertering til kreditækvivalente beløb)</t>
  </si>
  <si>
    <t>(Generelle hensættelser fratrukket ved opgørelsen af kernekapital og specifikke hensættelser i forbindelse med ikkebalanceførte eksponeringer)</t>
  </si>
  <si>
    <t xml:space="preserve">	Ikke-balanceførte eksponeringer</t>
  </si>
  <si>
    <t>Udelukkede eksponeringer</t>
  </si>
  <si>
    <t>EU-22a</t>
  </si>
  <si>
    <t>(Eksponeringer, som udelukkes fra det samlede eksponeringsmål i overensstemmelse med artikel 429a, stk. 1, litra c), i CRR)</t>
  </si>
  <si>
    <t>EU-22b</t>
  </si>
  <si>
    <t>Eksponeringer, som udelukkes i overensstemmelse med artikel 429a, stk. 1, litra j), i CRR (balanceførte og ikkebalanceførte)</t>
  </si>
  <si>
    <t>EU-22c</t>
  </si>
  <si>
    <t>Offentlige udviklingsbankers (eller enheders) udelukkede eksponeringer — Offentlige investeringer</t>
  </si>
  <si>
    <t>EU-22d</t>
  </si>
  <si>
    <t>Offentlige udviklingsbankers (eller enheders) udelukkede eksponeringer — Støttelån</t>
  </si>
  <si>
    <t>EU-22e</t>
  </si>
  <si>
    <t>(Udelukkede eksponeringer fra pass through-støttelån gennem ikkeoffentlige udviklingskreditinstitutter (eller (enheder))</t>
  </si>
  <si>
    <t>EU-22f</t>
  </si>
  <si>
    <t>(Udelukkede garanterede dele af eksponeringer, der følger af eksportkreditter)</t>
  </si>
  <si>
    <t>EU-22g</t>
  </si>
  <si>
    <t>(Udelukket overskydende sikkerhedsstillelse deponeret hos trepartsagenter)</t>
  </si>
  <si>
    <t>EU-22h</t>
  </si>
  <si>
    <t>(Udelukkede bankmæssige accessoriske tjenesteydelser fra værdipapircentraler/institutter i henhold til artikel 429a, stk. 1, litra o), i CRR</t>
  </si>
  <si>
    <t>EU-22i</t>
  </si>
  <si>
    <t>(Udelukkede bankmæssige accessoriske tjenesteydelser fra udpegede institutter i henhold til artikel 429a, stk. 1, litra p), i CRR</t>
  </si>
  <si>
    <t>EU-22j</t>
  </si>
  <si>
    <t>(Reduktion af eksponeringsværdien af forfinansieringslån eller overgangslån)</t>
  </si>
  <si>
    <t>EU-22k</t>
  </si>
  <si>
    <t>(Udelukkede eksponeringer i alt)</t>
  </si>
  <si>
    <t>Kapitalmål og samlet eksponeringsmål</t>
  </si>
  <si>
    <t>Gearingsgrad</t>
  </si>
  <si>
    <t>Gearingsgrad (%)</t>
  </si>
  <si>
    <t>EU-25</t>
  </si>
  <si>
    <t>Gearingsgrad (ekskl. virkningen af undtagelsen af offentlige investeringer og støttelån) (%)</t>
  </si>
  <si>
    <t>25a</t>
  </si>
  <si>
    <t>Gearingsgrad (ekskl. virkningen af midlertidige undtagelser af centralbankreserver) (%)</t>
  </si>
  <si>
    <t xml:space="preserve">	Lovpligtig minimumsgearingsgradkrav (%)</t>
  </si>
  <si>
    <t>EU-26a</t>
  </si>
  <si>
    <t>Krav om yderligere kapitalgrundlag til at tage højde for risikoen for overdreven gearing (%)</t>
  </si>
  <si>
    <t>EU-26b</t>
  </si>
  <si>
    <t xml:space="preserve">     heraf: i form af egentlig kernekapital</t>
  </si>
  <si>
    <t xml:space="preserve">	Krav vedrørende gearingsgradbuffer (%)</t>
  </si>
  <si>
    <t>EU-27a</t>
  </si>
  <si>
    <t>Sammenlagt gearingsgradkrav (%)</t>
  </si>
  <si>
    <t>Valg af overgangsordninger og relevante eksponeringer</t>
  </si>
  <si>
    <r>
      <t>EU-27</t>
    </r>
    <r>
      <rPr>
        <sz val="11"/>
        <color theme="1"/>
        <rFont val="Calibri"/>
        <family val="2"/>
        <scheme val="minor"/>
      </rPr>
      <t>b</t>
    </r>
  </si>
  <si>
    <t>Valg af overgangsordninger for definitionen af kapitalmålet</t>
  </si>
  <si>
    <t>Offentliggørelse af gennemsnitsværdier</t>
  </si>
  <si>
    <t>Gennemsnit af daglige værdier af bruttoaktiver, der er indgået i SFT'er, efter justering for regnskabsmæssige transaktioner vedrørende salg og modregning af relaterede likvide forpligtelser og likvide tilgodehavender</t>
  </si>
  <si>
    <t xml:space="preserve">	Kvartals-ultimoværdi af bruttoaktiver, der er indgået i SFT'er, efter justering for regnskabsmæssige transaktioner vedrørende salg og modregning af relaterede likvide forpligtelser og likvide tilgodehavender</t>
  </si>
  <si>
    <t>Samlet eksponeringsmål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</si>
  <si>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30a</t>
  </si>
  <si>
    <t>Samlet eksponeringsmål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</si>
  <si>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Gearingsgrad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</si>
  <si>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31a</t>
  </si>
  <si>
    <t>Gearingsgrad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</si>
</sst>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_(* \(#,##0\);_(* &quot;-&quot;??_);_(@_)"/>
    <numFmt numFmtId="166" formatCode="0.0"/>
    <numFmt numFmtId="167" formatCode="#,##0.0"/>
    <numFmt numFmtId="168" formatCode="_-* #,##0.0_-;\-* #,##0.0_-;_-* &quot;-&quot;??_-;_-@_-"/>
    <numFmt numFmtId="169" formatCode="_-* #,##0_-;\-* #,##0_-;_-* &quot;-&quot;??_-;_-@_-"/>
  </numFmts>
  <fonts count="10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rgb="FF000000"/>
      <name val="Calibri"/>
      <family val="2"/>
      <scheme val="minor"/>
    </font>
    <font>
      <b/>
      <sz val="14"/>
      <color theme="1"/>
      <name val="Calibri"/>
      <family val="2"/>
      <scheme val="minor"/>
    </font>
    <font>
      <sz val="11"/>
      <name val="Calibri"/>
      <family val="2"/>
      <scheme val="minor"/>
    </font>
    <font>
      <b/>
      <sz val="9"/>
      <name val="Calibri"/>
      <family val="2"/>
      <scheme val="minor"/>
    </font>
    <font>
      <sz val="9"/>
      <name val="Calibri"/>
      <family val="2"/>
      <scheme val="minor"/>
    </font>
    <font>
      <sz val="9"/>
      <name val="Calibri Light"/>
      <family val="2"/>
    </font>
    <font>
      <i/>
      <sz val="9"/>
      <name val="Calibri Light"/>
      <family val="2"/>
    </font>
    <font>
      <b/>
      <sz val="9"/>
      <name val="Calibri Light"/>
      <family val="2"/>
    </font>
    <font>
      <sz val="9"/>
      <color theme="1"/>
      <name val="Calibri Light"/>
      <family val="2"/>
    </font>
    <font>
      <sz val="8"/>
      <name val="Calibri"/>
      <family val="2"/>
      <scheme val="minor"/>
    </font>
    <font>
      <sz val="11"/>
      <color rgb="FF444444"/>
      <name val="Calibri"/>
      <family val="2"/>
      <charset val="1"/>
    </font>
    <font>
      <sz val="9"/>
      <name val="Calibri Light"/>
    </font>
    <font>
      <b/>
      <i/>
      <sz val="9"/>
      <name val="Calibri"/>
      <family val="2"/>
      <scheme val="minor"/>
    </font>
    <font>
      <sz val="11"/>
      <color rgb="FF000000"/>
      <name val="Calibri"/>
      <family val="2"/>
      <scheme val="minor"/>
    </font>
    <font>
      <b/>
      <sz val="11"/>
      <color rgb="FF000000"/>
      <name val="Calibri"/>
      <family val="2"/>
      <scheme val="minor"/>
    </font>
    <font>
      <sz val="11"/>
      <color rgb="FF000000"/>
      <name val="Calibri"/>
    </font>
    <font>
      <b/>
      <sz val="11"/>
      <color rgb="FF000000"/>
      <name val="Calibri"/>
      <family val="2"/>
    </font>
    <font>
      <b/>
      <sz val="11"/>
      <color rgb="FF000000"/>
      <name val="Calibri"/>
    </font>
    <font>
      <sz val="11"/>
      <color rgb="FF000000"/>
      <name val="Calibri"/>
      <family val="2"/>
    </font>
    <font>
      <sz val="14"/>
      <color theme="1"/>
      <name val="Calibri"/>
      <family val="2"/>
      <scheme val="minor"/>
    </font>
    <font>
      <b/>
      <sz val="11"/>
      <name val="Calibri"/>
      <family val="2"/>
      <scheme val="minor"/>
    </font>
    <font>
      <b/>
      <sz val="14"/>
      <name val="Calibri"/>
      <family val="2"/>
      <scheme val="minor"/>
    </font>
    <font>
      <sz val="9"/>
      <color theme="1"/>
      <name val="Calibri"/>
      <family val="2"/>
      <scheme val="minor"/>
    </font>
    <font>
      <sz val="10"/>
      <name val="Arial"/>
      <family val="2"/>
    </font>
    <font>
      <sz val="9"/>
      <name val="Calibri"/>
      <family val="2"/>
    </font>
    <font>
      <b/>
      <sz val="9"/>
      <color theme="1"/>
      <name val="Calibri"/>
      <family val="2"/>
      <scheme val="minor"/>
    </font>
    <font>
      <b/>
      <sz val="9"/>
      <name val="Calibri"/>
      <family val="2"/>
    </font>
    <font>
      <strike/>
      <sz val="9"/>
      <name val="Calibri"/>
      <family val="2"/>
    </font>
    <font>
      <sz val="11"/>
      <color theme="1"/>
      <name val="Calibri Light"/>
      <family val="2"/>
      <scheme val="major"/>
    </font>
    <font>
      <sz val="12"/>
      <color theme="1"/>
      <name val="Calibri Light"/>
      <family val="2"/>
      <scheme val="major"/>
    </font>
    <font>
      <sz val="8.5"/>
      <color theme="1"/>
      <name val="Calibri Light"/>
      <family val="2"/>
      <scheme val="major"/>
    </font>
    <font>
      <i/>
      <sz val="8"/>
      <color theme="1"/>
      <name val="Calibri Light"/>
      <family val="2"/>
      <scheme val="major"/>
    </font>
    <font>
      <sz val="8"/>
      <color theme="1"/>
      <name val="Calibri Light"/>
      <family val="2"/>
      <scheme val="major"/>
    </font>
    <font>
      <b/>
      <i/>
      <sz val="8.5"/>
      <color theme="1"/>
      <name val="Calibri Light"/>
      <family val="2"/>
      <scheme val="major"/>
    </font>
    <font>
      <b/>
      <sz val="8.5"/>
      <color theme="1"/>
      <name val="Calibri Light"/>
      <family val="2"/>
      <scheme val="major"/>
    </font>
    <font>
      <b/>
      <sz val="10"/>
      <color rgb="FF2F5773"/>
      <name val="Calibri"/>
      <family val="2"/>
      <scheme val="minor"/>
    </font>
    <font>
      <sz val="12"/>
      <name val="Calibri"/>
      <family val="2"/>
    </font>
    <font>
      <sz val="12"/>
      <color rgb="FF000000"/>
      <name val="Calibri"/>
      <family val="2"/>
    </font>
    <font>
      <b/>
      <i/>
      <sz val="11"/>
      <name val="Calibri"/>
      <family val="2"/>
      <scheme val="minor"/>
    </font>
    <font>
      <b/>
      <sz val="12"/>
      <name val="Calibri"/>
      <family val="2"/>
    </font>
    <font>
      <sz val="12"/>
      <name val="Calibri"/>
      <family val="2"/>
      <scheme val="minor"/>
    </font>
    <font>
      <sz val="8.5"/>
      <name val="Segoe UI"/>
      <family val="2"/>
    </font>
    <font>
      <b/>
      <sz val="8.5"/>
      <name val="Segoe UI"/>
      <family val="2"/>
    </font>
    <font>
      <sz val="14"/>
      <name val="Calibri"/>
      <family val="2"/>
      <scheme val="minor"/>
    </font>
    <font>
      <sz val="16"/>
      <color theme="1"/>
      <name val="Calibri"/>
      <family val="2"/>
      <scheme val="minor"/>
    </font>
    <font>
      <sz val="11"/>
      <color theme="1"/>
      <name val="Calibri"/>
      <family val="2"/>
    </font>
    <font>
      <b/>
      <sz val="11"/>
      <color theme="1"/>
      <name val="Calibri"/>
      <family val="2"/>
    </font>
    <font>
      <i/>
      <sz val="11"/>
      <name val="Calibri"/>
      <family val="2"/>
    </font>
    <font>
      <sz val="11"/>
      <name val="Calibri"/>
      <family val="2"/>
    </font>
    <font>
      <b/>
      <sz val="14"/>
      <color theme="1"/>
      <name val="Calibri"/>
      <family val="2"/>
    </font>
    <font>
      <b/>
      <sz val="8.5"/>
      <color theme="1"/>
      <name val="Calibri"/>
      <family val="2"/>
      <scheme val="minor"/>
    </font>
    <font>
      <sz val="9"/>
      <color theme="1"/>
      <name val="Calibri Light"/>
      <family val="2"/>
      <scheme val="major"/>
    </font>
    <font>
      <sz val="9"/>
      <color rgb="FF000000"/>
      <name val="Calibri Light"/>
      <family val="2"/>
      <scheme val="major"/>
    </font>
    <font>
      <sz val="9"/>
      <name val="Calibri Light"/>
      <family val="2"/>
      <scheme val="major"/>
    </font>
    <font>
      <b/>
      <sz val="9"/>
      <color theme="1"/>
      <name val="Calibri Light"/>
      <family val="2"/>
      <scheme val="major"/>
    </font>
    <font>
      <b/>
      <sz val="12"/>
      <color theme="1"/>
      <name val="Arial"/>
      <family val="2"/>
    </font>
    <font>
      <sz val="8.5"/>
      <color theme="1"/>
      <name val="Segoe UI"/>
      <family val="2"/>
    </font>
    <font>
      <sz val="8"/>
      <color theme="1"/>
      <name val="Segoe UI"/>
      <family val="2"/>
    </font>
    <font>
      <sz val="10"/>
      <color theme="1"/>
      <name val="Arial"/>
      <family val="2"/>
    </font>
    <font>
      <sz val="10"/>
      <color rgb="FFFF0000"/>
      <name val="Arial"/>
      <family val="2"/>
    </font>
    <font>
      <i/>
      <sz val="10"/>
      <name val="Arial"/>
      <family val="2"/>
    </font>
    <font>
      <b/>
      <sz val="10"/>
      <color theme="1"/>
      <name val="Arial"/>
      <family val="2"/>
    </font>
    <font>
      <b/>
      <sz val="16"/>
      <name val="Calibri"/>
      <family val="2"/>
    </font>
    <font>
      <b/>
      <sz val="14"/>
      <name val="Calibri"/>
      <family val="2"/>
    </font>
    <font>
      <sz val="12"/>
      <color theme="1"/>
      <name val="Calibri Light"/>
      <family val="2"/>
    </font>
    <font>
      <sz val="10"/>
      <color theme="1"/>
      <name val="Calibri Light"/>
      <family val="2"/>
    </font>
    <font>
      <sz val="10"/>
      <name val="Calibri Light"/>
      <family val="2"/>
    </font>
    <font>
      <u/>
      <sz val="10"/>
      <color rgb="FF008080"/>
      <name val="Calibri Light"/>
      <family val="2"/>
    </font>
    <font>
      <b/>
      <sz val="10"/>
      <color theme="1"/>
      <name val="Calibri Light"/>
      <family val="2"/>
    </font>
    <font>
      <b/>
      <sz val="12"/>
      <color theme="1"/>
      <name val="Calibri Light"/>
      <family val="2"/>
    </font>
    <font>
      <b/>
      <sz val="10"/>
      <name val="Calibri Light"/>
      <family val="2"/>
    </font>
    <font>
      <sz val="11"/>
      <color theme="1"/>
      <name val="Calibri Light"/>
      <family val="2"/>
    </font>
    <font>
      <u/>
      <sz val="11"/>
      <color rgb="FF008080"/>
      <name val="Calibri Light"/>
      <family val="2"/>
    </font>
    <font>
      <sz val="10"/>
      <color theme="1"/>
      <name val="Calibri"/>
      <family val="2"/>
    </font>
    <font>
      <sz val="10"/>
      <name val="Calibri"/>
      <family val="2"/>
    </font>
    <font>
      <b/>
      <sz val="10"/>
      <name val="Corbel Light"/>
      <family val="2"/>
    </font>
    <font>
      <b/>
      <sz val="11"/>
      <name val="Corbel Light"/>
      <family val="2"/>
    </font>
    <font>
      <sz val="9"/>
      <color rgb="FF000000"/>
      <name val="Calibri Light"/>
      <family val="2"/>
    </font>
    <font>
      <b/>
      <sz val="9"/>
      <color rgb="FF000000"/>
      <name val="Calibri Light"/>
      <family val="2"/>
    </font>
    <font>
      <sz val="11"/>
      <name val="Calibri Light"/>
      <family val="2"/>
    </font>
    <font>
      <sz val="14"/>
      <color theme="1"/>
      <name val="Calibri"/>
      <family val="2"/>
    </font>
    <font>
      <b/>
      <sz val="16"/>
      <color theme="1"/>
      <name val="Calibri Light"/>
      <family val="2"/>
    </font>
    <font>
      <sz val="10"/>
      <color rgb="FF000000"/>
      <name val="Calibri Light"/>
      <family val="2"/>
    </font>
    <font>
      <b/>
      <sz val="10"/>
      <color rgb="FF000000"/>
      <name val="Calibri Light"/>
      <family val="2"/>
    </font>
    <font>
      <sz val="11"/>
      <color rgb="FF0070C0"/>
      <name val="Calibri"/>
      <family val="2"/>
      <scheme val="minor"/>
    </font>
    <font>
      <sz val="12"/>
      <color theme="1"/>
      <name val="Calibri"/>
      <family val="2"/>
      <scheme val="minor"/>
    </font>
    <font>
      <i/>
      <sz val="11"/>
      <color theme="1"/>
      <name val="Calibri"/>
      <family val="2"/>
      <scheme val="minor"/>
    </font>
    <font>
      <i/>
      <sz val="11"/>
      <color theme="1"/>
      <name val="Calibri Light"/>
      <family val="2"/>
      <scheme val="major"/>
    </font>
    <font>
      <b/>
      <sz val="11"/>
      <color theme="0"/>
      <name val="Calibri Light"/>
      <family val="2"/>
      <scheme val="major"/>
    </font>
    <font>
      <b/>
      <sz val="11"/>
      <color theme="1"/>
      <name val="Calibri Light"/>
      <family val="2"/>
      <scheme val="major"/>
    </font>
    <font>
      <i/>
      <sz val="11"/>
      <name val="Calibri Light"/>
      <family val="2"/>
      <scheme val="major"/>
    </font>
    <font>
      <sz val="11"/>
      <name val="Calibri Light"/>
      <family val="2"/>
      <scheme val="major"/>
    </font>
    <font>
      <sz val="11"/>
      <name val="Times New Roman"/>
      <family val="1"/>
    </font>
    <font>
      <b/>
      <i/>
      <sz val="12"/>
      <name val="Times New Roman"/>
      <family val="1"/>
    </font>
    <font>
      <i/>
      <sz val="12"/>
      <name val="Times New Roman"/>
      <family val="1"/>
    </font>
    <font>
      <sz val="11"/>
      <color theme="0" tint="-4.9989318521683403E-2"/>
      <name val="Calibri"/>
      <family val="2"/>
      <scheme val="minor"/>
    </font>
    <font>
      <b/>
      <sz val="11"/>
      <name val="Calibri"/>
      <family val="2"/>
    </font>
    <font>
      <b/>
      <sz val="20"/>
      <name val="Calibri"/>
      <family val="2"/>
    </font>
    <font>
      <sz val="20"/>
      <name val="Calibri"/>
      <family val="2"/>
    </font>
    <font>
      <sz val="11"/>
      <name val="Segoe UI"/>
      <family val="2"/>
    </font>
    <font>
      <sz val="6"/>
      <color rgb="FF666666"/>
      <name val="Segoe UI"/>
      <family val="2"/>
    </font>
    <font>
      <sz val="16"/>
      <name val="Calibri"/>
      <family val="2"/>
    </font>
    <font>
      <b/>
      <u/>
      <sz val="11"/>
      <name val="Calibri"/>
      <family val="2"/>
    </font>
    <font>
      <u/>
      <sz val="11"/>
      <color theme="10"/>
      <name val="Calibri"/>
      <family val="2"/>
      <scheme val="minor"/>
    </font>
  </fonts>
  <fills count="18">
    <fill>
      <patternFill patternType="none"/>
    </fill>
    <fill>
      <patternFill patternType="gray125"/>
    </fill>
    <fill>
      <patternFill patternType="solid">
        <fgColor rgb="FFB2BDC8"/>
        <bgColor indexed="64"/>
      </patternFill>
    </fill>
    <fill>
      <patternFill patternType="solid">
        <fgColor rgb="FFFFFFFF"/>
        <bgColor indexed="64"/>
      </patternFill>
    </fill>
    <fill>
      <patternFill patternType="solid">
        <fgColor indexed="42"/>
        <bgColor indexed="64"/>
      </patternFill>
    </fill>
    <fill>
      <patternFill patternType="solid">
        <fgColor rgb="FFFFFFFF"/>
        <bgColor rgb="FF000000"/>
      </patternFill>
    </fill>
    <fill>
      <patternFill patternType="solid">
        <fgColor rgb="FF808080"/>
        <bgColor rgb="FF000000"/>
      </patternFill>
    </fill>
    <fill>
      <patternFill patternType="solid">
        <fgColor theme="0"/>
        <bgColor indexed="64"/>
      </patternFill>
    </fill>
    <fill>
      <patternFill patternType="solid">
        <fgColor theme="0" tint="-4.9989318521683403E-2"/>
        <bgColor indexed="64"/>
      </patternFill>
    </fill>
    <fill>
      <patternFill patternType="solid">
        <fgColor rgb="FF59595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DDE3"/>
        <bgColor indexed="64"/>
      </patternFill>
    </fill>
    <fill>
      <patternFill patternType="solid">
        <fgColor rgb="FF5E788E"/>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2"/>
        <bgColor indexed="64"/>
      </patternFill>
    </fill>
    <fill>
      <patternFill patternType="solid">
        <fgColor indexed="9"/>
        <bgColor indexed="64"/>
      </patternFill>
    </fill>
  </fills>
  <borders count="5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bottom style="medium">
        <color indexed="64"/>
      </bottom>
      <diagonal/>
    </border>
    <border>
      <left/>
      <right style="thin">
        <color indexed="9"/>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8" fillId="0" borderId="0">
      <alignment vertical="center"/>
    </xf>
    <xf numFmtId="3" fontId="28" fillId="4" borderId="2" applyFont="0">
      <alignment horizontal="right" vertical="center"/>
      <protection locked="0"/>
    </xf>
    <xf numFmtId="0" fontId="28" fillId="0" borderId="0">
      <alignment vertical="center"/>
    </xf>
    <xf numFmtId="0" fontId="28" fillId="0" borderId="0"/>
    <xf numFmtId="0" fontId="28" fillId="0" borderId="0"/>
    <xf numFmtId="0" fontId="28" fillId="0" borderId="0"/>
    <xf numFmtId="0" fontId="108" fillId="0" borderId="0" applyNumberFormat="0" applyFill="0" applyBorder="0" applyAlignment="0" applyProtection="0"/>
  </cellStyleXfs>
  <cellXfs count="599">
    <xf numFmtId="0" fontId="0" fillId="0" borderId="0" xfId="0"/>
    <xf numFmtId="0" fontId="5" fillId="0" borderId="1" xfId="0" applyFont="1" applyBorder="1" applyAlignment="1">
      <alignment vertical="center"/>
    </xf>
    <xf numFmtId="0" fontId="0" fillId="0" borderId="0" xfId="0" applyAlignment="1">
      <alignment horizontal="right"/>
    </xf>
    <xf numFmtId="0" fontId="6" fillId="0" borderId="0" xfId="0" applyFont="1"/>
    <xf numFmtId="0" fontId="0" fillId="0" borderId="2" xfId="0" applyBorder="1"/>
    <xf numFmtId="0" fontId="7"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justify" vertical="center"/>
    </xf>
    <xf numFmtId="3" fontId="10" fillId="0" borderId="6" xfId="0" applyNumberFormat="1" applyFont="1" applyBorder="1" applyAlignment="1">
      <alignment horizontal="right" wrapText="1"/>
    </xf>
    <xf numFmtId="0" fontId="10" fillId="0" borderId="2" xfId="0" applyFont="1" applyBorder="1"/>
    <xf numFmtId="0" fontId="11" fillId="0" borderId="6" xfId="0" applyFont="1" applyBorder="1" applyAlignment="1">
      <alignment horizontal="right" wrapText="1"/>
    </xf>
    <xf numFmtId="0" fontId="10" fillId="0" borderId="6" xfId="0" applyFont="1" applyBorder="1"/>
    <xf numFmtId="0" fontId="10" fillId="0" borderId="6" xfId="0" applyFont="1" applyBorder="1" applyAlignment="1">
      <alignment horizontal="right" wrapText="1"/>
    </xf>
    <xf numFmtId="0" fontId="8" fillId="0" borderId="2" xfId="0" applyFont="1" applyBorder="1" applyAlignment="1">
      <alignment horizontal="center" vertical="center"/>
    </xf>
    <xf numFmtId="0" fontId="8" fillId="0" borderId="2" xfId="0" applyFont="1" applyBorder="1" applyAlignment="1">
      <alignment horizontal="justify" vertical="center"/>
    </xf>
    <xf numFmtId="3" fontId="12" fillId="0" borderId="6" xfId="0" applyNumberFormat="1" applyFont="1" applyBorder="1" applyAlignment="1">
      <alignment horizontal="right" wrapText="1"/>
    </xf>
    <xf numFmtId="0" fontId="9" fillId="0" borderId="2" xfId="0" applyFont="1" applyBorder="1" applyAlignment="1">
      <alignment horizontal="justify" vertical="center" wrapText="1"/>
    </xf>
    <xf numFmtId="0" fontId="13" fillId="0" borderId="0" xfId="0" applyFont="1"/>
    <xf numFmtId="0" fontId="11" fillId="0" borderId="6" xfId="0" applyFont="1" applyBorder="1"/>
    <xf numFmtId="0" fontId="9" fillId="0" borderId="2" xfId="0" applyFont="1" applyBorder="1" applyAlignment="1">
      <alignment vertical="center" wrapText="1"/>
    </xf>
    <xf numFmtId="0" fontId="11" fillId="0" borderId="6" xfId="0" applyFont="1" applyBorder="1" applyAlignment="1">
      <alignment wrapText="1"/>
    </xf>
    <xf numFmtId="0" fontId="8" fillId="0" borderId="2" xfId="0" applyFont="1" applyBorder="1" applyAlignment="1">
      <alignment horizontal="justify" vertical="center" wrapText="1"/>
    </xf>
    <xf numFmtId="0" fontId="10" fillId="0" borderId="2" xfId="0" applyFont="1" applyBorder="1" applyAlignment="1">
      <alignment vertical="center" wrapText="1"/>
    </xf>
    <xf numFmtId="0" fontId="10" fillId="0" borderId="2" xfId="0" applyFont="1" applyBorder="1" applyAlignment="1">
      <alignment horizontal="right" wrapText="1"/>
    </xf>
    <xf numFmtId="0" fontId="9" fillId="0" borderId="2" xfId="0" applyFont="1" applyBorder="1" applyAlignment="1">
      <alignment horizontal="left" vertical="center" wrapText="1"/>
    </xf>
    <xf numFmtId="0" fontId="12" fillId="0" borderId="2" xfId="0" applyFont="1" applyBorder="1" applyAlignment="1">
      <alignment vertical="center" wrapText="1"/>
    </xf>
    <xf numFmtId="0" fontId="8" fillId="0" borderId="2" xfId="0" applyFont="1" applyBorder="1" applyAlignment="1">
      <alignment vertical="center" wrapText="1"/>
    </xf>
    <xf numFmtId="0" fontId="15" fillId="0" borderId="0" xfId="0" applyFont="1"/>
    <xf numFmtId="164" fontId="16" fillId="0" borderId="2" xfId="2" applyNumberFormat="1" applyFont="1" applyBorder="1" applyAlignment="1">
      <alignment horizontal="right" wrapText="1"/>
    </xf>
    <xf numFmtId="164" fontId="16" fillId="0" borderId="6" xfId="2" applyNumberFormat="1" applyFont="1" applyBorder="1" applyAlignment="1">
      <alignment horizontal="right" wrapText="1"/>
    </xf>
    <xf numFmtId="164" fontId="10" fillId="0" borderId="6" xfId="2" applyNumberFormat="1" applyFont="1" applyBorder="1" applyAlignment="1">
      <alignment horizontal="right" wrapText="1"/>
    </xf>
    <xf numFmtId="0" fontId="9" fillId="0" borderId="2" xfId="0" applyFont="1" applyBorder="1" applyAlignment="1">
      <alignment horizontal="left" vertical="center" wrapText="1" indent="1"/>
    </xf>
    <xf numFmtId="164" fontId="9" fillId="0" borderId="2" xfId="2" applyNumberFormat="1" applyFont="1" applyBorder="1" applyAlignment="1">
      <alignment horizontal="right" vertical="center"/>
    </xf>
    <xf numFmtId="0" fontId="9" fillId="0" borderId="2" xfId="0" applyFont="1" applyBorder="1" applyAlignment="1">
      <alignment horizontal="right" vertical="center"/>
    </xf>
    <xf numFmtId="0" fontId="9" fillId="0" borderId="7" xfId="0" applyFont="1" applyBorder="1" applyAlignment="1">
      <alignment horizontal="center" vertical="center"/>
    </xf>
    <xf numFmtId="0" fontId="9" fillId="0" borderId="7" xfId="0" applyFont="1" applyBorder="1" applyAlignment="1">
      <alignment horizontal="left" vertical="center" wrapText="1"/>
    </xf>
    <xf numFmtId="0" fontId="10" fillId="0" borderId="7" xfId="0" applyFont="1" applyBorder="1" applyAlignment="1">
      <alignment horizontal="center" vertical="center" wrapText="1"/>
    </xf>
    <xf numFmtId="0" fontId="9" fillId="0" borderId="2" xfId="0" applyFont="1" applyBorder="1" applyAlignment="1">
      <alignment horizontal="right" vertical="center" wrapText="1"/>
    </xf>
    <xf numFmtId="0" fontId="0" fillId="0" borderId="8" xfId="0" applyBorder="1"/>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9" xfId="0" applyBorder="1" applyAlignment="1">
      <alignment horizontal="center"/>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8" xfId="0" applyFont="1" applyBorder="1"/>
    <xf numFmtId="0" fontId="20" fillId="0" borderId="8" xfId="0" applyFont="1" applyBorder="1" applyAlignment="1">
      <alignment wrapText="1"/>
    </xf>
    <xf numFmtId="3" fontId="20" fillId="0" borderId="8" xfId="0" applyNumberFormat="1" applyFont="1" applyBorder="1" applyAlignment="1">
      <alignment horizontal="right" wrapText="1"/>
    </xf>
    <xf numFmtId="0" fontId="0" fillId="0" borderId="8" xfId="0" applyBorder="1" applyAlignment="1">
      <alignment vertical="center"/>
    </xf>
    <xf numFmtId="3" fontId="21" fillId="0" borderId="8" xfId="0" applyNumberFormat="1" applyFont="1" applyBorder="1" applyAlignment="1">
      <alignment horizontal="right" wrapText="1"/>
    </xf>
    <xf numFmtId="0" fontId="18" fillId="0" borderId="8" xfId="0" applyFont="1" applyBorder="1" applyAlignment="1">
      <alignment horizontal="center" vertical="center" wrapText="1"/>
    </xf>
    <xf numFmtId="0" fontId="20" fillId="0" borderId="8" xfId="0" applyFont="1" applyBorder="1" applyAlignment="1">
      <alignment horizontal="right" wrapText="1"/>
    </xf>
    <xf numFmtId="0" fontId="20" fillId="0" borderId="5" xfId="0" applyFont="1" applyBorder="1" applyAlignment="1">
      <alignment wrapText="1"/>
    </xf>
    <xf numFmtId="0" fontId="23" fillId="0" borderId="8" xfId="0" applyFont="1" applyBorder="1"/>
    <xf numFmtId="0" fontId="20" fillId="0" borderId="15" xfId="0" applyFont="1" applyBorder="1" applyAlignment="1">
      <alignment wrapText="1"/>
    </xf>
    <xf numFmtId="0" fontId="20" fillId="0" borderId="16" xfId="0" applyFont="1" applyBorder="1" applyAlignment="1">
      <alignment wrapText="1"/>
    </xf>
    <xf numFmtId="0" fontId="22" fillId="0" borderId="8" xfId="0" applyFont="1" applyBorder="1"/>
    <xf numFmtId="3" fontId="0" fillId="0" borderId="0" xfId="0" applyNumberFormat="1"/>
    <xf numFmtId="0" fontId="24" fillId="0" borderId="0" xfId="0" applyFont="1"/>
    <xf numFmtId="0" fontId="26" fillId="0" borderId="0" xfId="0" applyFont="1" applyAlignment="1">
      <alignment vertical="center"/>
    </xf>
    <xf numFmtId="0" fontId="27" fillId="0" borderId="2" xfId="0" applyFont="1" applyBorder="1"/>
    <xf numFmtId="0" fontId="27" fillId="3" borderId="2" xfId="0" applyFont="1" applyFill="1" applyBorder="1" applyAlignment="1">
      <alignment horizontal="center" vertical="center"/>
    </xf>
    <xf numFmtId="0" fontId="27" fillId="0" borderId="17" xfId="0" applyFont="1" applyBorder="1"/>
    <xf numFmtId="0" fontId="27" fillId="0" borderId="6" xfId="0" applyFont="1" applyBorder="1" applyAlignment="1">
      <alignment wrapText="1"/>
    </xf>
    <xf numFmtId="0" fontId="27"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0" fillId="0" borderId="0" xfId="0" applyAlignment="1">
      <alignment wrapText="1"/>
    </xf>
    <xf numFmtId="0" fontId="27" fillId="0" borderId="2" xfId="0" quotePrefix="1" applyFont="1" applyBorder="1" applyAlignment="1">
      <alignment horizontal="center"/>
    </xf>
    <xf numFmtId="0" fontId="8" fillId="2" borderId="2" xfId="3" applyFont="1" applyFill="1" applyBorder="1" applyAlignment="1">
      <alignment horizontal="left" vertical="center" indent="1"/>
    </xf>
    <xf numFmtId="3" fontId="9" fillId="2" borderId="2" xfId="4" applyFont="1" applyFill="1" applyAlignment="1">
      <alignment horizontal="center" vertical="center"/>
      <protection locked="0"/>
    </xf>
    <xf numFmtId="0" fontId="27" fillId="2" borderId="2" xfId="0" applyFont="1" applyFill="1" applyBorder="1"/>
    <xf numFmtId="0" fontId="29" fillId="5" borderId="2" xfId="0" applyFont="1" applyFill="1" applyBorder="1"/>
    <xf numFmtId="165" fontId="29" fillId="5" borderId="5" xfId="0" applyNumberFormat="1" applyFont="1" applyFill="1" applyBorder="1" applyAlignment="1">
      <alignment horizontal="right"/>
    </xf>
    <xf numFmtId="9" fontId="29" fillId="5" borderId="5" xfId="2" applyFont="1" applyFill="1" applyBorder="1" applyAlignment="1">
      <alignment horizontal="right"/>
    </xf>
    <xf numFmtId="0" fontId="29" fillId="5" borderId="6" xfId="0" applyFont="1" applyFill="1" applyBorder="1"/>
    <xf numFmtId="165" fontId="29" fillId="5" borderId="15" xfId="0" applyNumberFormat="1" applyFont="1" applyFill="1" applyBorder="1" applyAlignment="1">
      <alignment horizontal="right"/>
    </xf>
    <xf numFmtId="9" fontId="29" fillId="5" borderId="15" xfId="2" applyFont="1" applyFill="1" applyBorder="1" applyAlignment="1">
      <alignment horizontal="right"/>
    </xf>
    <xf numFmtId="0" fontId="30" fillId="0" borderId="2" xfId="0" quotePrefix="1" applyFont="1" applyBorder="1" applyAlignment="1">
      <alignment horizontal="center" vertical="center"/>
    </xf>
    <xf numFmtId="0" fontId="31" fillId="0" borderId="6" xfId="0" applyFont="1" applyBorder="1"/>
    <xf numFmtId="165" fontId="31" fillId="5" borderId="15" xfId="0" applyNumberFormat="1" applyFont="1" applyFill="1" applyBorder="1" applyAlignment="1">
      <alignment horizontal="right"/>
    </xf>
    <xf numFmtId="165" fontId="31" fillId="5" borderId="5" xfId="0" applyNumberFormat="1" applyFont="1" applyFill="1" applyBorder="1" applyAlignment="1">
      <alignment horizontal="right"/>
    </xf>
    <xf numFmtId="9" fontId="31" fillId="5" borderId="15" xfId="2" applyFont="1" applyFill="1" applyBorder="1" applyAlignment="1">
      <alignment horizontal="right"/>
    </xf>
    <xf numFmtId="165" fontId="32" fillId="6" borderId="15" xfId="0" applyNumberFormat="1" applyFont="1" applyFill="1" applyBorder="1" applyAlignment="1">
      <alignment horizontal="right"/>
    </xf>
    <xf numFmtId="0" fontId="0" fillId="0" borderId="2" xfId="0" applyBorder="1" applyAlignment="1">
      <alignment horizontal="center"/>
    </xf>
    <xf numFmtId="0" fontId="0" fillId="3" borderId="2" xfId="0" applyFill="1" applyBorder="1" applyAlignment="1">
      <alignment horizontal="center" vertical="center" wrapText="1"/>
    </xf>
    <xf numFmtId="0" fontId="0" fillId="0" borderId="2" xfId="0" quotePrefix="1" applyBorder="1" applyAlignment="1">
      <alignment horizontal="center" vertical="center"/>
    </xf>
    <xf numFmtId="0" fontId="7" fillId="0" borderId="2" xfId="3" applyFont="1" applyBorder="1" applyAlignment="1">
      <alignment horizontal="left" vertical="center" wrapText="1" indent="1"/>
    </xf>
    <xf numFmtId="3" fontId="7" fillId="0" borderId="2" xfId="4" applyFont="1" applyFill="1" applyAlignment="1">
      <alignment horizontal="center" vertical="center"/>
      <protection locked="0"/>
    </xf>
    <xf numFmtId="3" fontId="7" fillId="0" borderId="2" xfId="4" applyFont="1" applyFill="1" applyAlignment="1">
      <alignment horizontal="center" vertical="center" wrapText="1"/>
      <protection locked="0"/>
    </xf>
    <xf numFmtId="0" fontId="33" fillId="0" borderId="0" xfId="0" applyFont="1"/>
    <xf numFmtId="0" fontId="34" fillId="0" borderId="0" xfId="0" applyFont="1" applyAlignment="1">
      <alignment vertical="center"/>
    </xf>
    <xf numFmtId="0" fontId="34" fillId="0" borderId="0" xfId="0" applyFont="1"/>
    <xf numFmtId="0" fontId="34" fillId="0" borderId="21" xfId="0" applyFont="1" applyBorder="1" applyAlignment="1">
      <alignment vertical="center" wrapText="1"/>
    </xf>
    <xf numFmtId="0" fontId="34" fillId="0" borderId="22" xfId="0" applyFont="1" applyBorder="1" applyAlignment="1">
      <alignment vertical="center" wrapText="1"/>
    </xf>
    <xf numFmtId="0" fontId="35" fillId="0" borderId="22" xfId="0" applyFont="1" applyBorder="1" applyAlignment="1">
      <alignment horizontal="center" vertical="center" wrapText="1"/>
    </xf>
    <xf numFmtId="0" fontId="34" fillId="0" borderId="23" xfId="0" applyFont="1" applyBorder="1" applyAlignment="1">
      <alignment vertical="center" wrapText="1"/>
    </xf>
    <xf numFmtId="0" fontId="35" fillId="0" borderId="22" xfId="0" applyFont="1" applyBorder="1" applyAlignment="1">
      <alignment vertical="center" wrapText="1"/>
    </xf>
    <xf numFmtId="0" fontId="34" fillId="0" borderId="28" xfId="0" applyFont="1" applyBorder="1" applyAlignment="1">
      <alignment vertical="center" wrapText="1"/>
    </xf>
    <xf numFmtId="0" fontId="34" fillId="0" borderId="34" xfId="0" applyFont="1" applyBorder="1" applyAlignment="1">
      <alignment vertical="center" wrapText="1"/>
    </xf>
    <xf numFmtId="0" fontId="35" fillId="0" borderId="35" xfId="0" applyFont="1" applyBorder="1" applyAlignment="1">
      <alignment vertical="center" wrapText="1"/>
    </xf>
    <xf numFmtId="0" fontId="35" fillId="7" borderId="1" xfId="0" applyFont="1" applyFill="1" applyBorder="1" applyAlignment="1">
      <alignment horizontal="center" vertical="center" wrapText="1"/>
    </xf>
    <xf numFmtId="0" fontId="35" fillId="7" borderId="35" xfId="0" applyFont="1" applyFill="1" applyBorder="1" applyAlignment="1">
      <alignment horizontal="center" vertical="center" wrapText="1"/>
    </xf>
    <xf numFmtId="0" fontId="35" fillId="0" borderId="28" xfId="0" applyFont="1" applyBorder="1" applyAlignment="1">
      <alignment horizontal="center" vertical="center" wrapText="1"/>
    </xf>
    <xf numFmtId="49" fontId="35" fillId="0" borderId="37" xfId="0" applyNumberFormat="1" applyFont="1" applyBorder="1" applyAlignment="1">
      <alignment horizontal="center" vertical="center" wrapText="1"/>
    </xf>
    <xf numFmtId="3" fontId="35" fillId="0" borderId="22" xfId="0" applyNumberFormat="1" applyFont="1" applyBorder="1" applyAlignment="1">
      <alignment horizontal="right" vertical="center" wrapText="1"/>
    </xf>
    <xf numFmtId="3" fontId="35" fillId="0" borderId="35" xfId="0" applyNumberFormat="1" applyFont="1" applyBorder="1" applyAlignment="1">
      <alignment horizontal="right" vertical="center" wrapText="1"/>
    </xf>
    <xf numFmtId="49" fontId="36" fillId="3" borderId="34" xfId="0" applyNumberFormat="1" applyFont="1" applyFill="1" applyBorder="1" applyAlignment="1">
      <alignment horizontal="center" vertical="center" wrapText="1"/>
    </xf>
    <xf numFmtId="0" fontId="36" fillId="3" borderId="35" xfId="0" applyFont="1" applyFill="1" applyBorder="1" applyAlignment="1">
      <alignment horizontal="left" vertical="center" wrapText="1" indent="1"/>
    </xf>
    <xf numFmtId="3" fontId="37" fillId="3" borderId="35" xfId="0" applyNumberFormat="1" applyFont="1" applyFill="1" applyBorder="1" applyAlignment="1">
      <alignment horizontal="right" vertical="center" wrapText="1" indent="1"/>
    </xf>
    <xf numFmtId="0" fontId="36" fillId="3" borderId="35" xfId="0" applyFont="1" applyFill="1" applyBorder="1" applyAlignment="1">
      <alignment vertical="center" wrapText="1"/>
    </xf>
    <xf numFmtId="3" fontId="36" fillId="8" borderId="35" xfId="0" applyNumberFormat="1" applyFont="1" applyFill="1" applyBorder="1" applyAlignment="1">
      <alignment horizontal="right" vertical="center" wrapText="1" indent="1"/>
    </xf>
    <xf numFmtId="3" fontId="35" fillId="8" borderId="35" xfId="0" applyNumberFormat="1" applyFont="1" applyFill="1" applyBorder="1" applyAlignment="1">
      <alignment horizontal="right" vertical="center" wrapText="1"/>
    </xf>
    <xf numFmtId="49" fontId="35" fillId="0" borderId="34" xfId="0" applyNumberFormat="1" applyFont="1" applyBorder="1" applyAlignment="1">
      <alignment horizontal="center" vertical="center" wrapText="1"/>
    </xf>
    <xf numFmtId="3" fontId="35" fillId="9" borderId="35" xfId="0" applyNumberFormat="1" applyFont="1" applyFill="1" applyBorder="1" applyAlignment="1">
      <alignment horizontal="right" vertical="center" wrapText="1"/>
    </xf>
    <xf numFmtId="49" fontId="38" fillId="0" borderId="34" xfId="0" applyNumberFormat="1" applyFont="1" applyBorder="1" applyAlignment="1">
      <alignment horizontal="center" vertical="center" wrapText="1"/>
    </xf>
    <xf numFmtId="0" fontId="38" fillId="0" borderId="35" xfId="0" applyFont="1" applyBorder="1" applyAlignment="1">
      <alignment vertical="center" wrapText="1"/>
    </xf>
    <xf numFmtId="3" fontId="39" fillId="0" borderId="35" xfId="0" applyNumberFormat="1" applyFont="1" applyBorder="1" applyAlignment="1">
      <alignment horizontal="right" vertical="center" wrapText="1"/>
    </xf>
    <xf numFmtId="3" fontId="33" fillId="0" borderId="0" xfId="0" applyNumberFormat="1" applyFont="1"/>
    <xf numFmtId="0" fontId="40" fillId="0" borderId="0" xfId="0" applyFont="1" applyAlignment="1">
      <alignment vertical="center"/>
    </xf>
    <xf numFmtId="0" fontId="40" fillId="0" borderId="2" xfId="0" applyFont="1" applyBorder="1" applyAlignment="1">
      <alignment vertical="center"/>
    </xf>
    <xf numFmtId="0" fontId="0" fillId="0" borderId="5" xfId="0" applyBorder="1"/>
    <xf numFmtId="0" fontId="0" fillId="0" borderId="6" xfId="0" applyBorder="1"/>
    <xf numFmtId="0" fontId="0" fillId="0" borderId="15" xfId="0" applyBorder="1" applyAlignment="1">
      <alignment horizontal="center"/>
    </xf>
    <xf numFmtId="0" fontId="0" fillId="0" borderId="15" xfId="0" applyBorder="1"/>
    <xf numFmtId="0" fontId="0" fillId="0" borderId="2" xfId="0"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wrapText="1"/>
    </xf>
    <xf numFmtId="3" fontId="41" fillId="0" borderId="2" xfId="0" applyNumberFormat="1" applyFont="1" applyBorder="1" applyAlignment="1">
      <alignment horizontal="right"/>
    </xf>
    <xf numFmtId="3" fontId="42" fillId="0" borderId="5" xfId="0" applyNumberFormat="1" applyFont="1" applyBorder="1" applyAlignment="1">
      <alignment horizontal="right"/>
    </xf>
    <xf numFmtId="3" fontId="23" fillId="0" borderId="5" xfId="0" applyNumberFormat="1" applyFont="1" applyBorder="1" applyAlignment="1">
      <alignment horizontal="right"/>
    </xf>
    <xf numFmtId="3" fontId="41" fillId="0" borderId="6" xfId="0" applyNumberFormat="1" applyFont="1" applyBorder="1" applyAlignment="1">
      <alignment horizontal="right"/>
    </xf>
    <xf numFmtId="3" fontId="42" fillId="0" borderId="15" xfId="0" applyNumberFormat="1" applyFont="1" applyBorder="1" applyAlignment="1">
      <alignment horizontal="right"/>
    </xf>
    <xf numFmtId="3" fontId="23" fillId="0" borderId="15" xfId="0" applyNumberFormat="1" applyFont="1" applyBorder="1" applyAlignment="1">
      <alignment horizontal="right"/>
    </xf>
    <xf numFmtId="0" fontId="43" fillId="0" borderId="2" xfId="0" applyFont="1" applyBorder="1" applyAlignment="1">
      <alignment horizontal="center" vertical="center"/>
    </xf>
    <xf numFmtId="0" fontId="43" fillId="0" borderId="5" xfId="0" applyFont="1" applyBorder="1" applyAlignment="1">
      <alignment wrapText="1"/>
    </xf>
    <xf numFmtId="3" fontId="44" fillId="0" borderId="6" xfId="0" applyNumberFormat="1" applyFont="1" applyBorder="1" applyAlignment="1">
      <alignment horizontal="right"/>
    </xf>
    <xf numFmtId="3" fontId="44" fillId="0" borderId="15" xfId="0" applyNumberFormat="1" applyFont="1" applyBorder="1" applyAlignment="1">
      <alignment horizontal="right"/>
    </xf>
    <xf numFmtId="3" fontId="21" fillId="0" borderId="15" xfId="0" applyNumberFormat="1" applyFont="1" applyBorder="1" applyAlignment="1">
      <alignment horizontal="right"/>
    </xf>
    <xf numFmtId="0" fontId="45" fillId="0" borderId="0" xfId="0" applyFont="1" applyAlignment="1">
      <alignment vertical="center"/>
    </xf>
    <xf numFmtId="0" fontId="45" fillId="0" borderId="0" xfId="0" applyFont="1"/>
    <xf numFmtId="0" fontId="45" fillId="0" borderId="23" xfId="0" applyFont="1" applyBorder="1" applyAlignment="1">
      <alignment vertical="center"/>
    </xf>
    <xf numFmtId="0" fontId="46" fillId="0" borderId="37" xfId="0" applyFont="1" applyBorder="1" applyAlignment="1">
      <alignment horizontal="center" vertical="center" wrapText="1"/>
    </xf>
    <xf numFmtId="0" fontId="45" fillId="0" borderId="34" xfId="0" applyFont="1" applyBorder="1" applyAlignment="1">
      <alignment vertical="center"/>
    </xf>
    <xf numFmtId="0" fontId="45" fillId="0" borderId="35" xfId="0" applyFont="1" applyBorder="1"/>
    <xf numFmtId="0" fontId="46" fillId="0" borderId="34" xfId="0" applyFont="1" applyBorder="1" applyAlignment="1">
      <alignment horizontal="center" vertical="center" wrapText="1"/>
    </xf>
    <xf numFmtId="49" fontId="47" fillId="0" borderId="37" xfId="0" applyNumberFormat="1" applyFont="1" applyBorder="1" applyAlignment="1">
      <alignment horizontal="center" vertical="center" wrapText="1"/>
    </xf>
    <xf numFmtId="0" fontId="47" fillId="0" borderId="22" xfId="0" applyFont="1" applyBorder="1" applyAlignment="1">
      <alignment vertical="center" wrapText="1"/>
    </xf>
    <xf numFmtId="3" fontId="46" fillId="0" borderId="35" xfId="0" applyNumberFormat="1" applyFont="1" applyBorder="1" applyAlignment="1">
      <alignment horizontal="right" vertical="center" wrapText="1"/>
    </xf>
    <xf numFmtId="49" fontId="46" fillId="0" borderId="34" xfId="0" applyNumberFormat="1" applyFont="1" applyBorder="1" applyAlignment="1">
      <alignment horizontal="center" vertical="center" wrapText="1"/>
    </xf>
    <xf numFmtId="0" fontId="46" fillId="0" borderId="35" xfId="0" applyFont="1" applyBorder="1" applyAlignment="1">
      <alignment vertical="center" wrapText="1"/>
    </xf>
    <xf numFmtId="0" fontId="46" fillId="0" borderId="35" xfId="0" applyFont="1" applyBorder="1" applyAlignment="1">
      <alignment horizontal="left" vertical="center" wrapText="1" indent="1"/>
    </xf>
    <xf numFmtId="49" fontId="47" fillId="0" borderId="34" xfId="0" applyNumberFormat="1" applyFont="1" applyBorder="1" applyAlignment="1">
      <alignment horizontal="center" vertical="center" wrapText="1"/>
    </xf>
    <xf numFmtId="0" fontId="47" fillId="0" borderId="35" xfId="0" applyFont="1" applyBorder="1" applyAlignment="1">
      <alignment vertical="center" wrapText="1"/>
    </xf>
    <xf numFmtId="0" fontId="48" fillId="0" borderId="0" xfId="0" applyFont="1"/>
    <xf numFmtId="0" fontId="49" fillId="0" borderId="0" xfId="0" applyFont="1"/>
    <xf numFmtId="0" fontId="50" fillId="0" borderId="18" xfId="0" applyFont="1" applyBorder="1"/>
    <xf numFmtId="0" fontId="23" fillId="0" borderId="19" xfId="0" applyFont="1" applyBorder="1" applyAlignment="1">
      <alignment vertical="center" wrapText="1"/>
    </xf>
    <xf numFmtId="0" fontId="21" fillId="7" borderId="7"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4" xfId="0" applyFont="1" applyFill="1" applyBorder="1" applyAlignment="1">
      <alignment vertical="center" wrapText="1"/>
    </xf>
    <xf numFmtId="0" fontId="50" fillId="0" borderId="19" xfId="0" applyFont="1" applyBorder="1"/>
    <xf numFmtId="0" fontId="50" fillId="0" borderId="0" xfId="0" applyFont="1"/>
    <xf numFmtId="0" fontId="50" fillId="0" borderId="38" xfId="0" applyFont="1" applyBorder="1"/>
    <xf numFmtId="0" fontId="23" fillId="0" borderId="16" xfId="0" applyFont="1" applyBorder="1" applyAlignment="1">
      <alignment vertical="center" wrapText="1"/>
    </xf>
    <xf numFmtId="0" fontId="21" fillId="7" borderId="17" xfId="0" applyFont="1" applyFill="1" applyBorder="1" applyAlignment="1">
      <alignment horizontal="center" vertical="center" wrapText="1"/>
    </xf>
    <xf numFmtId="0" fontId="21" fillId="7" borderId="38"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50" fillId="0" borderId="6" xfId="0" applyFont="1" applyBorder="1"/>
    <xf numFmtId="0" fontId="50" fillId="0" borderId="3" xfId="0" applyFont="1" applyBorder="1"/>
    <xf numFmtId="0" fontId="23" fillId="0" borderId="5" xfId="0" applyFont="1" applyBorder="1" applyAlignment="1">
      <alignmen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vertical="center" wrapText="1"/>
    </xf>
    <xf numFmtId="3" fontId="23" fillId="0" borderId="2" xfId="0" applyNumberFormat="1" applyFont="1" applyBorder="1" applyAlignment="1">
      <alignment horizontal="right" vertical="center" wrapText="1"/>
    </xf>
    <xf numFmtId="3" fontId="50" fillId="0" borderId="2" xfId="0" applyNumberFormat="1" applyFont="1" applyBorder="1" applyAlignment="1">
      <alignment horizontal="right"/>
    </xf>
    <xf numFmtId="3" fontId="50" fillId="0" borderId="2" xfId="0" applyNumberFormat="1" applyFont="1" applyBorder="1" applyAlignment="1">
      <alignment horizontal="right" vertical="center" wrapText="1"/>
    </xf>
    <xf numFmtId="0" fontId="52" fillId="0" borderId="2" xfId="0" applyFont="1" applyBorder="1" applyAlignment="1">
      <alignment vertical="center" wrapText="1"/>
    </xf>
    <xf numFmtId="3" fontId="23" fillId="0" borderId="3" xfId="0" applyNumberFormat="1" applyFont="1" applyBorder="1" applyAlignment="1">
      <alignment horizontal="right" vertical="center" wrapText="1"/>
    </xf>
    <xf numFmtId="3" fontId="23" fillId="0" borderId="18" xfId="0" applyNumberFormat="1" applyFont="1" applyBorder="1" applyAlignment="1">
      <alignment horizontal="right" vertical="center" wrapText="1"/>
    </xf>
    <xf numFmtId="0" fontId="53" fillId="0" borderId="2" xfId="0" applyFont="1" applyBorder="1" applyAlignment="1">
      <alignment horizontal="center" vertical="center" wrapText="1"/>
    </xf>
    <xf numFmtId="3" fontId="23" fillId="10" borderId="2" xfId="0" applyNumberFormat="1" applyFont="1" applyFill="1" applyBorder="1" applyAlignment="1">
      <alignment horizontal="right" vertical="center" wrapText="1"/>
    </xf>
    <xf numFmtId="3" fontId="23" fillId="10" borderId="2" xfId="0" applyNumberFormat="1" applyFont="1" applyFill="1" applyBorder="1" applyAlignment="1">
      <alignment horizontal="center" vertical="center" wrapText="1"/>
    </xf>
    <xf numFmtId="0" fontId="54" fillId="0" borderId="0" xfId="0" applyFont="1" applyAlignment="1">
      <alignment horizontal="left"/>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vertical="center" wrapText="1"/>
    </xf>
    <xf numFmtId="3" fontId="23" fillId="5" borderId="5" xfId="0" applyNumberFormat="1" applyFont="1" applyFill="1" applyBorder="1" applyAlignment="1">
      <alignment horizontal="right" wrapText="1"/>
    </xf>
    <xf numFmtId="164" fontId="18" fillId="5" borderId="5" xfId="0" applyNumberFormat="1" applyFont="1" applyFill="1" applyBorder="1" applyAlignment="1">
      <alignment horizontal="right" wrapText="1"/>
    </xf>
    <xf numFmtId="0" fontId="7" fillId="0" borderId="2" xfId="0" applyFont="1" applyBorder="1" applyAlignment="1">
      <alignment horizontal="left" vertical="center" wrapText="1"/>
    </xf>
    <xf numFmtId="3" fontId="23" fillId="5" borderId="15" xfId="0" applyNumberFormat="1" applyFont="1" applyFill="1" applyBorder="1" applyAlignment="1">
      <alignment horizontal="right" wrapText="1"/>
    </xf>
    <xf numFmtId="164" fontId="18" fillId="5" borderId="15" xfId="0" applyNumberFormat="1" applyFont="1" applyFill="1" applyBorder="1" applyAlignment="1">
      <alignment horizontal="right" wrapText="1"/>
    </xf>
    <xf numFmtId="0" fontId="55" fillId="0" borderId="2" xfId="0" applyFont="1" applyBorder="1" applyAlignment="1">
      <alignment vertical="center" wrapText="1"/>
    </xf>
    <xf numFmtId="3" fontId="21" fillId="5" borderId="15" xfId="0" applyNumberFormat="1" applyFont="1" applyFill="1" applyBorder="1" applyAlignment="1">
      <alignment horizontal="right" wrapText="1"/>
    </xf>
    <xf numFmtId="164" fontId="19" fillId="5" borderId="15" xfId="0" applyNumberFormat="1" applyFont="1" applyFill="1" applyBorder="1" applyAlignment="1">
      <alignment horizontal="right" wrapText="1"/>
    </xf>
    <xf numFmtId="3" fontId="0" fillId="0" borderId="0" xfId="0" applyNumberFormat="1" applyAlignment="1">
      <alignment wrapText="1"/>
    </xf>
    <xf numFmtId="0" fontId="0" fillId="0" borderId="7" xfId="0"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9" fontId="25" fillId="0" borderId="2" xfId="0" applyNumberFormat="1" applyFont="1" applyBorder="1" applyAlignment="1">
      <alignment horizontal="center" vertical="center"/>
    </xf>
    <xf numFmtId="0" fontId="3" fillId="0" borderId="17" xfId="0" applyFont="1" applyBorder="1" applyAlignment="1">
      <alignment vertical="center"/>
    </xf>
    <xf numFmtId="9" fontId="3" fillId="0" borderId="5" xfId="0" applyNumberFormat="1" applyFont="1" applyBorder="1" applyAlignment="1">
      <alignment horizontal="center" vertical="center"/>
    </xf>
    <xf numFmtId="9" fontId="3" fillId="0" borderId="2" xfId="0" applyNumberFormat="1" applyFont="1" applyBorder="1" applyAlignment="1">
      <alignment horizontal="center" vertical="center"/>
    </xf>
    <xf numFmtId="0" fontId="3" fillId="0" borderId="6" xfId="0" applyFont="1" applyBorder="1" applyAlignment="1">
      <alignment vertical="center"/>
    </xf>
    <xf numFmtId="0" fontId="0" fillId="0" borderId="5" xfId="0" applyBorder="1" applyAlignment="1">
      <alignment horizontal="center" vertical="center"/>
    </xf>
    <xf numFmtId="0" fontId="7" fillId="0" borderId="5" xfId="0" applyFont="1" applyBorder="1" applyAlignment="1">
      <alignment horizontal="center" vertical="center"/>
    </xf>
    <xf numFmtId="0" fontId="56" fillId="0" borderId="2" xfId="0" applyFont="1" applyBorder="1" applyAlignment="1">
      <alignment horizontal="center" vertical="center"/>
    </xf>
    <xf numFmtId="0" fontId="56" fillId="0" borderId="2" xfId="0" applyFont="1" applyBorder="1" applyAlignment="1">
      <alignment vertical="center"/>
    </xf>
    <xf numFmtId="3" fontId="57" fillId="0" borderId="5" xfId="0" applyNumberFormat="1" applyFont="1" applyBorder="1" applyAlignment="1">
      <alignment horizontal="right"/>
    </xf>
    <xf numFmtId="0" fontId="57" fillId="0" borderId="2" xfId="0" applyFont="1" applyBorder="1" applyAlignment="1">
      <alignment horizontal="right"/>
    </xf>
    <xf numFmtId="3" fontId="57" fillId="0" borderId="2" xfId="0" applyNumberFormat="1" applyFont="1" applyBorder="1" applyAlignment="1">
      <alignment horizontal="right"/>
    </xf>
    <xf numFmtId="3" fontId="56" fillId="0" borderId="2" xfId="0" applyNumberFormat="1" applyFont="1" applyBorder="1" applyAlignment="1">
      <alignment horizontal="right"/>
    </xf>
    <xf numFmtId="0" fontId="56" fillId="0" borderId="2" xfId="0" applyFont="1" applyBorder="1" applyAlignment="1">
      <alignment horizontal="right"/>
    </xf>
    <xf numFmtId="0" fontId="58" fillId="0" borderId="2" xfId="0" applyFont="1" applyBorder="1" applyAlignment="1">
      <alignment horizontal="left" vertical="center"/>
    </xf>
    <xf numFmtId="0" fontId="59" fillId="0" borderId="2" xfId="0" applyFont="1" applyBorder="1" applyAlignment="1">
      <alignment horizontal="center" vertical="center"/>
    </xf>
    <xf numFmtId="0" fontId="59" fillId="0" borderId="2" xfId="0" applyFont="1" applyBorder="1" applyAlignment="1">
      <alignment vertical="center"/>
    </xf>
    <xf numFmtId="3" fontId="59" fillId="0" borderId="5" xfId="0" applyNumberFormat="1" applyFont="1" applyBorder="1" applyAlignment="1">
      <alignment horizontal="right"/>
    </xf>
    <xf numFmtId="3" fontId="59" fillId="0" borderId="2" xfId="0" applyNumberFormat="1" applyFont="1" applyBorder="1" applyAlignment="1">
      <alignment horizontal="right"/>
    </xf>
    <xf numFmtId="0" fontId="59" fillId="0" borderId="2" xfId="0" applyFont="1" applyBorder="1" applyAlignment="1">
      <alignment horizontal="right"/>
    </xf>
    <xf numFmtId="0" fontId="0" fillId="0" borderId="0" xfId="0" applyAlignment="1">
      <alignment horizontal="center" vertical="center"/>
    </xf>
    <xf numFmtId="0" fontId="61" fillId="0" borderId="0" xfId="0" applyFont="1" applyAlignment="1">
      <alignment horizontal="center" vertical="center" wrapText="1"/>
    </xf>
    <xf numFmtId="0" fontId="61" fillId="0" borderId="0" xfId="0" applyFont="1" applyAlignment="1">
      <alignment vertical="center" wrapText="1"/>
    </xf>
    <xf numFmtId="0" fontId="62" fillId="0" borderId="0" xfId="0" applyFont="1" applyAlignment="1">
      <alignment horizontal="center" vertical="center" wrapText="1"/>
    </xf>
    <xf numFmtId="0" fontId="63" fillId="0" borderId="2" xfId="0" applyFont="1" applyBorder="1" applyAlignment="1">
      <alignment horizontal="center" vertical="center" wrapText="1"/>
    </xf>
    <xf numFmtId="0" fontId="63" fillId="0" borderId="2" xfId="0" applyFont="1" applyBorder="1" applyAlignment="1">
      <alignment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0" fontId="65" fillId="0" borderId="2" xfId="0" applyFont="1" applyBorder="1" applyAlignment="1">
      <alignment vertical="center" wrapText="1"/>
    </xf>
    <xf numFmtId="0" fontId="66" fillId="0" borderId="2" xfId="0" applyFont="1" applyBorder="1" applyAlignment="1">
      <alignment vertical="center" wrapText="1"/>
    </xf>
    <xf numFmtId="0" fontId="68" fillId="0" borderId="0" xfId="5" applyFont="1">
      <alignment vertical="center"/>
    </xf>
    <xf numFmtId="0" fontId="69" fillId="0" borderId="0" xfId="0" applyFont="1"/>
    <xf numFmtId="0" fontId="70" fillId="11" borderId="2" xfId="0" applyFont="1" applyFill="1" applyBorder="1" applyAlignment="1">
      <alignment vertical="center" wrapText="1"/>
    </xf>
    <xf numFmtId="0" fontId="70" fillId="0" borderId="2" xfId="0" applyFont="1" applyBorder="1" applyAlignment="1">
      <alignment vertical="center" wrapText="1"/>
    </xf>
    <xf numFmtId="0" fontId="71" fillId="0" borderId="2" xfId="0" applyFont="1" applyBorder="1" applyAlignment="1">
      <alignment horizontal="center" vertical="center" wrapText="1"/>
    </xf>
    <xf numFmtId="166" fontId="70" fillId="0" borderId="2" xfId="0" applyNumberFormat="1" applyFont="1" applyBorder="1" applyAlignment="1">
      <alignment horizontal="right" vertical="center" wrapText="1"/>
    </xf>
    <xf numFmtId="166" fontId="73" fillId="0" borderId="2" xfId="0" applyNumberFormat="1" applyFont="1" applyBorder="1" applyAlignment="1">
      <alignment horizontal="right" vertical="center" wrapText="1"/>
    </xf>
    <xf numFmtId="167" fontId="70" fillId="3" borderId="2" xfId="0" applyNumberFormat="1" applyFont="1" applyFill="1" applyBorder="1" applyAlignment="1">
      <alignment vertical="center" wrapText="1"/>
    </xf>
    <xf numFmtId="167" fontId="70" fillId="11" borderId="2" xfId="0" applyNumberFormat="1" applyFont="1" applyFill="1" applyBorder="1" applyAlignment="1">
      <alignment vertical="center" wrapText="1"/>
    </xf>
    <xf numFmtId="167" fontId="71" fillId="3" borderId="2" xfId="0" applyNumberFormat="1" applyFont="1" applyFill="1" applyBorder="1" applyAlignment="1">
      <alignment horizontal="center" vertical="center" wrapText="1"/>
    </xf>
    <xf numFmtId="167" fontId="70" fillId="0" borderId="2" xfId="0" applyNumberFormat="1" applyFont="1" applyBorder="1" applyAlignment="1">
      <alignment vertical="center" wrapText="1"/>
    </xf>
    <xf numFmtId="167" fontId="72" fillId="0" borderId="2" xfId="0" applyNumberFormat="1" applyFont="1" applyBorder="1" applyAlignment="1">
      <alignment vertical="center" wrapText="1"/>
    </xf>
    <xf numFmtId="167" fontId="72" fillId="11" borderId="2" xfId="0" applyNumberFormat="1" applyFont="1" applyFill="1" applyBorder="1" applyAlignment="1">
      <alignment vertical="center" wrapText="1"/>
    </xf>
    <xf numFmtId="167" fontId="71" fillId="0" borderId="2" xfId="0" applyNumberFormat="1" applyFont="1" applyBorder="1" applyAlignment="1">
      <alignment horizontal="center" vertical="center" wrapText="1"/>
    </xf>
    <xf numFmtId="167" fontId="70" fillId="0" borderId="2" xfId="0" applyNumberFormat="1" applyFont="1" applyBorder="1" applyAlignment="1">
      <alignment horizontal="right" vertical="center" wrapText="1"/>
    </xf>
    <xf numFmtId="167" fontId="70" fillId="11" borderId="2" xfId="0" applyNumberFormat="1" applyFont="1" applyFill="1" applyBorder="1" applyAlignment="1">
      <alignment horizontal="right" vertical="center" wrapText="1"/>
    </xf>
    <xf numFmtId="167" fontId="71" fillId="0" borderId="2" xfId="0" applyNumberFormat="1" applyFont="1" applyBorder="1" applyAlignment="1">
      <alignment horizontal="right" vertical="center" wrapText="1"/>
    </xf>
    <xf numFmtId="167" fontId="73" fillId="0" borderId="2" xfId="0" applyNumberFormat="1" applyFont="1" applyBorder="1" applyAlignment="1">
      <alignment horizontal="right" vertical="center" wrapText="1"/>
    </xf>
    <xf numFmtId="0" fontId="63" fillId="0" borderId="0" xfId="0" applyFont="1"/>
    <xf numFmtId="0" fontId="63" fillId="0" borderId="7" xfId="0" applyFont="1" applyBorder="1" applyAlignment="1">
      <alignment vertical="center" wrapText="1"/>
    </xf>
    <xf numFmtId="0" fontId="63" fillId="0" borderId="17" xfId="0" applyFont="1" applyBorder="1" applyAlignment="1">
      <alignment vertical="center" wrapText="1"/>
    </xf>
    <xf numFmtId="0" fontId="63" fillId="0" borderId="6" xfId="0" applyFont="1" applyBorder="1" applyAlignment="1">
      <alignment vertical="center" wrapText="1"/>
    </xf>
    <xf numFmtId="0" fontId="68" fillId="0" borderId="0" xfId="0" applyFont="1" applyAlignment="1">
      <alignment vertical="center"/>
    </xf>
    <xf numFmtId="0" fontId="74" fillId="0" borderId="7" xfId="0" applyFont="1" applyBorder="1"/>
    <xf numFmtId="0" fontId="70" fillId="0" borderId="2" xfId="0" applyFont="1" applyBorder="1" applyAlignment="1">
      <alignment horizontal="center" vertical="center" wrapText="1"/>
    </xf>
    <xf numFmtId="0" fontId="71" fillId="0" borderId="2" xfId="0" applyFont="1" applyBorder="1" applyAlignment="1">
      <alignment vertical="center" wrapText="1"/>
    </xf>
    <xf numFmtId="0" fontId="75" fillId="0" borderId="2" xfId="0" applyFont="1" applyBorder="1" applyAlignment="1">
      <alignment vertical="center" wrapText="1"/>
    </xf>
    <xf numFmtId="167" fontId="73" fillId="0" borderId="2" xfId="0" applyNumberFormat="1" applyFont="1" applyBorder="1" applyAlignment="1">
      <alignment vertical="center" wrapText="1"/>
    </xf>
    <xf numFmtId="0" fontId="76" fillId="0" borderId="0" xfId="0" applyFont="1"/>
    <xf numFmtId="0" fontId="74" fillId="0" borderId="0" xfId="0" applyFont="1"/>
    <xf numFmtId="0" fontId="77" fillId="0" borderId="0" xfId="0" applyFont="1" applyAlignment="1">
      <alignment horizontal="center" vertical="center"/>
    </xf>
    <xf numFmtId="0" fontId="78" fillId="0" borderId="7" xfId="0" applyFont="1" applyBorder="1" applyAlignment="1">
      <alignment horizontal="center" vertical="center" wrapText="1"/>
    </xf>
    <xf numFmtId="0" fontId="78" fillId="0" borderId="2" xfId="0" applyFont="1" applyBorder="1" applyAlignment="1">
      <alignment horizontal="center" vertical="center" wrapText="1"/>
    </xf>
    <xf numFmtId="0" fontId="79" fillId="0" borderId="10" xfId="0" applyFont="1" applyBorder="1" applyAlignment="1">
      <alignment vertical="center" wrapText="1"/>
    </xf>
    <xf numFmtId="0" fontId="78" fillId="0" borderId="17" xfId="0" applyFont="1" applyBorder="1" applyAlignment="1">
      <alignment horizontal="center" vertical="center" wrapText="1"/>
    </xf>
    <xf numFmtId="0" fontId="80" fillId="0" borderId="2" xfId="0" applyFont="1" applyBorder="1" applyAlignment="1">
      <alignment horizontal="center" vertical="center" wrapText="1"/>
    </xf>
    <xf numFmtId="0" fontId="78" fillId="0" borderId="6" xfId="0" applyFont="1" applyBorder="1" applyAlignment="1">
      <alignment horizontal="center" vertical="center" wrapText="1"/>
    </xf>
    <xf numFmtId="9" fontId="78" fillId="0" borderId="2" xfId="0" applyNumberFormat="1" applyFont="1" applyBorder="1" applyAlignment="1">
      <alignment horizontal="center" vertical="center" wrapText="1"/>
    </xf>
    <xf numFmtId="0" fontId="81" fillId="0" borderId="2" xfId="0" applyFont="1" applyBorder="1" applyAlignment="1">
      <alignment horizontal="center" vertical="center" wrapText="1"/>
    </xf>
    <xf numFmtId="0" fontId="13" fillId="0" borderId="2" xfId="0" applyFont="1" applyBorder="1" applyAlignment="1">
      <alignment vertical="center"/>
    </xf>
    <xf numFmtId="3" fontId="82" fillId="0" borderId="2" xfId="0" applyNumberFormat="1" applyFont="1" applyBorder="1" applyAlignment="1">
      <alignment wrapText="1"/>
    </xf>
    <xf numFmtId="3" fontId="82" fillId="0" borderId="5" xfId="0" applyNumberFormat="1" applyFont="1" applyBorder="1" applyAlignment="1">
      <alignment wrapText="1"/>
    </xf>
    <xf numFmtId="3" fontId="83" fillId="0" borderId="5" xfId="0" applyNumberFormat="1" applyFont="1" applyBorder="1" applyAlignment="1">
      <alignment wrapText="1"/>
    </xf>
    <xf numFmtId="0" fontId="10" fillId="0" borderId="2" xfId="0" applyFont="1" applyBorder="1" applyAlignment="1">
      <alignment horizontal="left" vertical="center"/>
    </xf>
    <xf numFmtId="3" fontId="82" fillId="0" borderId="6" xfId="0" applyNumberFormat="1" applyFont="1" applyBorder="1" applyAlignment="1">
      <alignment wrapText="1"/>
    </xf>
    <xf numFmtId="3" fontId="82" fillId="0" borderId="15" xfId="0" applyNumberFormat="1" applyFont="1" applyBorder="1" applyAlignment="1">
      <alignment wrapText="1"/>
    </xf>
    <xf numFmtId="0" fontId="84" fillId="0" borderId="2" xfId="0" applyFont="1" applyBorder="1" applyAlignment="1">
      <alignment horizontal="left" vertical="center" wrapText="1"/>
    </xf>
    <xf numFmtId="0" fontId="70" fillId="0" borderId="2" xfId="0" applyFont="1" applyBorder="1" applyAlignment="1">
      <alignment vertical="center"/>
    </xf>
    <xf numFmtId="3" fontId="83" fillId="0" borderId="6" xfId="0" applyNumberFormat="1" applyFont="1" applyBorder="1" applyAlignment="1">
      <alignment wrapText="1"/>
    </xf>
    <xf numFmtId="0" fontId="67" fillId="0" borderId="0" xfId="0" applyFont="1"/>
    <xf numFmtId="0" fontId="68" fillId="0" borderId="0" xfId="0" applyFont="1"/>
    <xf numFmtId="0" fontId="85" fillId="0" borderId="0" xfId="0" applyFont="1"/>
    <xf numFmtId="0" fontId="86" fillId="0" borderId="0" xfId="0" applyFont="1"/>
    <xf numFmtId="0" fontId="76" fillId="0" borderId="18" xfId="0" applyFont="1" applyBorder="1"/>
    <xf numFmtId="0" fontId="70" fillId="0" borderId="19" xfId="0" applyFont="1" applyBorder="1" applyAlignment="1">
      <alignment vertical="center" wrapText="1"/>
    </xf>
    <xf numFmtId="0" fontId="70" fillId="0" borderId="5" xfId="0" applyFont="1" applyBorder="1" applyAlignment="1">
      <alignment horizontal="center" vertical="center" wrapText="1"/>
    </xf>
    <xf numFmtId="0" fontId="76" fillId="0" borderId="10" xfId="0" applyFont="1" applyBorder="1"/>
    <xf numFmtId="0" fontId="70" fillId="0" borderId="15" xfId="0" applyFont="1" applyBorder="1" applyAlignment="1">
      <alignment vertical="center" wrapText="1"/>
    </xf>
    <xf numFmtId="0" fontId="84" fillId="0" borderId="38" xfId="0" applyFont="1" applyBorder="1"/>
    <xf numFmtId="0" fontId="84" fillId="0" borderId="2" xfId="0" applyFont="1" applyBorder="1" applyAlignment="1">
      <alignment horizontal="center"/>
    </xf>
    <xf numFmtId="0" fontId="70" fillId="0" borderId="2" xfId="0" applyFont="1" applyBorder="1" applyAlignment="1">
      <alignment horizontal="right" vertical="center" wrapText="1"/>
    </xf>
    <xf numFmtId="0" fontId="76" fillId="0" borderId="2" xfId="0" applyFont="1" applyBorder="1" applyAlignment="1">
      <alignment horizontal="center"/>
    </xf>
    <xf numFmtId="0" fontId="73" fillId="0" borderId="2" xfId="0" applyFont="1" applyBorder="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169" fontId="0" fillId="0" borderId="0" xfId="0" applyNumberFormat="1"/>
    <xf numFmtId="0" fontId="71" fillId="0" borderId="7" xfId="0" applyFont="1" applyBorder="1" applyAlignment="1">
      <alignment horizontal="center" vertical="center" wrapText="1"/>
    </xf>
    <xf numFmtId="0" fontId="71" fillId="0" borderId="20" xfId="0" applyFont="1" applyBorder="1" applyAlignment="1">
      <alignment horizontal="center" vertical="center"/>
    </xf>
    <xf numFmtId="0" fontId="71" fillId="0" borderId="6" xfId="0" applyFont="1" applyBorder="1" applyAlignment="1">
      <alignment horizontal="center" vertical="center" wrapText="1"/>
    </xf>
    <xf numFmtId="0" fontId="71" fillId="0" borderId="0" xfId="0" applyFont="1" applyAlignment="1">
      <alignment horizontal="center" vertical="center"/>
    </xf>
    <xf numFmtId="0" fontId="75" fillId="0" borderId="6" xfId="0" applyFont="1" applyBorder="1" applyAlignment="1">
      <alignment horizontal="center" vertical="center" wrapText="1"/>
    </xf>
    <xf numFmtId="168" fontId="71" fillId="2" borderId="2" xfId="1" applyNumberFormat="1" applyFont="1" applyFill="1" applyBorder="1" applyAlignment="1">
      <alignment vertical="center"/>
    </xf>
    <xf numFmtId="168" fontId="71" fillId="0" borderId="2" xfId="1" applyNumberFormat="1" applyFont="1" applyBorder="1" applyAlignment="1">
      <alignment vertical="center"/>
    </xf>
    <xf numFmtId="0" fontId="71" fillId="0" borderId="2" xfId="0" applyFont="1" applyBorder="1" applyAlignment="1">
      <alignment vertical="center"/>
    </xf>
    <xf numFmtId="0" fontId="75" fillId="0" borderId="2" xfId="0" applyFont="1" applyBorder="1" applyAlignment="1">
      <alignment horizontal="center" vertical="center" wrapText="1"/>
    </xf>
    <xf numFmtId="0" fontId="75" fillId="0" borderId="2" xfId="0" applyFont="1" applyBorder="1" applyAlignment="1">
      <alignment vertical="center"/>
    </xf>
    <xf numFmtId="0" fontId="71" fillId="2" borderId="2" xfId="0" applyFont="1" applyFill="1" applyBorder="1" applyAlignment="1">
      <alignment vertical="center"/>
    </xf>
    <xf numFmtId="0" fontId="41" fillId="0" borderId="0" xfId="0" applyFont="1"/>
    <xf numFmtId="0" fontId="5" fillId="0" borderId="0" xfId="0" applyFont="1"/>
    <xf numFmtId="0" fontId="5" fillId="0" borderId="0" xfId="0" applyFont="1" applyAlignment="1">
      <alignment vertical="center" wrapText="1"/>
    </xf>
    <xf numFmtId="0" fontId="18" fillId="0" borderId="6" xfId="0" applyFont="1" applyBorder="1" applyAlignment="1">
      <alignment horizontal="center" vertical="center" wrapText="1"/>
    </xf>
    <xf numFmtId="0" fontId="18" fillId="0" borderId="2" xfId="0" applyFont="1" applyBorder="1" applyAlignment="1">
      <alignment vertical="center" wrapText="1"/>
    </xf>
    <xf numFmtId="3" fontId="7" fillId="0" borderId="2" xfId="0" quotePrefix="1" applyNumberFormat="1" applyFont="1" applyBorder="1"/>
    <xf numFmtId="3" fontId="7" fillId="0" borderId="2" xfId="0" quotePrefix="1" applyNumberFormat="1" applyFont="1" applyBorder="1" applyAlignment="1">
      <alignment horizontal="right"/>
    </xf>
    <xf numFmtId="3" fontId="0" fillId="0" borderId="2" xfId="0" quotePrefix="1" applyNumberFormat="1" applyBorder="1" applyAlignment="1">
      <alignment horizontal="right" wrapText="1"/>
    </xf>
    <xf numFmtId="0" fontId="7" fillId="0" borderId="2" xfId="0" applyFont="1" applyBorder="1" applyAlignment="1">
      <alignment vertical="center" wrapText="1"/>
    </xf>
    <xf numFmtId="3" fontId="2" fillId="0" borderId="2" xfId="0" quotePrefix="1" applyNumberFormat="1" applyFont="1" applyBorder="1" applyAlignment="1">
      <alignment horizontal="right" wrapText="1"/>
    </xf>
    <xf numFmtId="3" fontId="7" fillId="0" borderId="2" xfId="0" quotePrefix="1" applyNumberFormat="1" applyFont="1" applyBorder="1" applyAlignment="1">
      <alignment horizontal="right" wrapText="1"/>
    </xf>
    <xf numFmtId="3" fontId="0" fillId="0" borderId="2" xfId="0" applyNumberFormat="1" applyBorder="1" applyAlignment="1">
      <alignment horizontal="right"/>
    </xf>
    <xf numFmtId="3" fontId="0" fillId="0" borderId="2" xfId="0" quotePrefix="1" applyNumberFormat="1" applyBorder="1" applyAlignment="1">
      <alignment horizontal="right"/>
    </xf>
    <xf numFmtId="0" fontId="3" fillId="0" borderId="2" xfId="0" applyFont="1" applyBorder="1" applyAlignment="1">
      <alignment vertical="center" wrapText="1"/>
    </xf>
    <xf numFmtId="3" fontId="3" fillId="0" borderId="2" xfId="0" quotePrefix="1" applyNumberFormat="1" applyFont="1" applyBorder="1" applyAlignment="1">
      <alignment horizontal="right"/>
    </xf>
    <xf numFmtId="0" fontId="0" fillId="0" borderId="0" xfId="0" applyAlignment="1">
      <alignment horizontal="center"/>
    </xf>
    <xf numFmtId="0" fontId="0" fillId="0" borderId="3" xfId="0" applyBorder="1" applyAlignment="1">
      <alignment horizontal="center"/>
    </xf>
    <xf numFmtId="3" fontId="0" fillId="0" borderId="2" xfId="0" quotePrefix="1" applyNumberFormat="1" applyBorder="1"/>
    <xf numFmtId="3" fontId="0" fillId="0" borderId="2" xfId="0" applyNumberFormat="1" applyBorder="1"/>
    <xf numFmtId="0" fontId="7" fillId="3" borderId="2" xfId="0" applyFont="1" applyFill="1" applyBorder="1" applyAlignment="1">
      <alignment horizontal="center" vertical="center" wrapText="1"/>
    </xf>
    <xf numFmtId="0" fontId="0" fillId="0" borderId="2" xfId="0" quotePrefix="1" applyBorder="1" applyAlignment="1">
      <alignment horizontal="right"/>
    </xf>
    <xf numFmtId="0" fontId="7" fillId="0" borderId="2" xfId="5" applyFont="1" applyBorder="1" applyAlignment="1">
      <alignment vertical="center" wrapText="1"/>
    </xf>
    <xf numFmtId="0" fontId="2" fillId="0" borderId="2" xfId="0" quotePrefix="1" applyFont="1" applyBorder="1" applyAlignment="1">
      <alignment horizontal="right"/>
    </xf>
    <xf numFmtId="0" fontId="7" fillId="12" borderId="2" xfId="0" applyFont="1" applyFill="1" applyBorder="1" applyAlignment="1">
      <alignment horizontal="center"/>
    </xf>
    <xf numFmtId="0" fontId="25" fillId="12" borderId="2" xfId="0" quotePrefix="1" applyFont="1" applyFill="1" applyBorder="1" applyAlignment="1">
      <alignment wrapText="1"/>
    </xf>
    <xf numFmtId="3" fontId="3" fillId="12" borderId="2" xfId="0" applyNumberFormat="1" applyFont="1" applyFill="1" applyBorder="1" applyAlignment="1">
      <alignment wrapText="1"/>
    </xf>
    <xf numFmtId="0" fontId="18" fillId="3" borderId="2" xfId="0" applyFont="1" applyFill="1" applyBorder="1" applyAlignment="1">
      <alignment vertical="center" wrapText="1"/>
    </xf>
    <xf numFmtId="0" fontId="7" fillId="0" borderId="2" xfId="0" applyFont="1" applyBorder="1" applyAlignment="1">
      <alignment horizontal="justify" vertical="top"/>
    </xf>
    <xf numFmtId="0" fontId="7" fillId="0" borderId="2" xfId="0" quotePrefix="1" applyFont="1" applyBorder="1" applyAlignment="1">
      <alignment horizontal="right"/>
    </xf>
    <xf numFmtId="0" fontId="7" fillId="0" borderId="2" xfId="5" applyFont="1" applyBorder="1" applyAlignment="1">
      <alignment horizontal="justify" vertical="top"/>
    </xf>
    <xf numFmtId="0" fontId="18" fillId="3" borderId="2" xfId="0" applyFont="1" applyFill="1" applyBorder="1" applyAlignment="1">
      <alignment horizontal="center" vertical="center" wrapText="1"/>
    </xf>
    <xf numFmtId="0" fontId="18" fillId="0" borderId="2" xfId="0" applyFont="1" applyBorder="1" applyAlignment="1">
      <alignment horizontal="left" vertical="center" wrapText="1" indent="1"/>
    </xf>
    <xf numFmtId="0" fontId="7"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0" fillId="12" borderId="2" xfId="0" applyFill="1" applyBorder="1" applyAlignment="1">
      <alignment horizontal="center" vertical="center"/>
    </xf>
    <xf numFmtId="0" fontId="3" fillId="12" borderId="2" xfId="0" applyFont="1" applyFill="1" applyBorder="1" applyAlignment="1">
      <alignment horizontal="justify" vertical="top" wrapText="1"/>
    </xf>
    <xf numFmtId="0" fontId="3" fillId="12" borderId="2" xfId="0" applyFont="1" applyFill="1" applyBorder="1" applyAlignment="1">
      <alignment horizontal="justify" vertical="top"/>
    </xf>
    <xf numFmtId="3" fontId="3" fillId="12" borderId="2" xfId="0" quotePrefix="1" applyNumberFormat="1" applyFont="1" applyFill="1" applyBorder="1" applyAlignment="1">
      <alignment wrapText="1"/>
    </xf>
    <xf numFmtId="0" fontId="7" fillId="0" borderId="2" xfId="0" applyFont="1" applyBorder="1" applyAlignment="1">
      <alignment horizontal="justify" vertical="center"/>
    </xf>
    <xf numFmtId="0" fontId="7" fillId="0" borderId="2" xfId="0" applyFont="1" applyBorder="1" applyAlignment="1">
      <alignment horizontal="justify" vertical="top" wrapText="1"/>
    </xf>
    <xf numFmtId="0" fontId="7" fillId="12" borderId="2" xfId="5" applyFont="1" applyFill="1" applyBorder="1" applyAlignment="1">
      <alignment horizontal="justify" vertical="center"/>
    </xf>
    <xf numFmtId="0" fontId="0" fillId="12" borderId="2" xfId="5" applyFont="1" applyFill="1" applyBorder="1" applyAlignment="1">
      <alignment horizontal="justify" vertical="top"/>
    </xf>
    <xf numFmtId="0" fontId="25" fillId="0" borderId="2" xfId="0" applyFont="1" applyBorder="1" applyAlignment="1">
      <alignment vertical="center"/>
    </xf>
    <xf numFmtId="3" fontId="3" fillId="0" borderId="2" xfId="0" applyNumberFormat="1" applyFont="1" applyBorder="1" applyAlignment="1">
      <alignment horizontal="right"/>
    </xf>
    <xf numFmtId="0" fontId="7" fillId="12" borderId="2" xfId="0" applyFont="1" applyFill="1" applyBorder="1" applyAlignment="1">
      <alignment horizontal="center" vertical="center"/>
    </xf>
    <xf numFmtId="0" fontId="3" fillId="12" borderId="2" xfId="0" applyFont="1" applyFill="1" applyBorder="1" applyAlignment="1">
      <alignment horizontal="justify" vertical="center"/>
    </xf>
    <xf numFmtId="3" fontId="25" fillId="12" borderId="2" xfId="0" applyNumberFormat="1" applyFont="1" applyFill="1" applyBorder="1" applyAlignment="1">
      <alignment horizontal="right" vertical="top"/>
    </xf>
    <xf numFmtId="164" fontId="7" fillId="0" borderId="2" xfId="2" quotePrefix="1" applyNumberFormat="1" applyFont="1" applyBorder="1" applyAlignment="1">
      <alignment wrapText="1"/>
    </xf>
    <xf numFmtId="164" fontId="7" fillId="0" borderId="2" xfId="2" applyNumberFormat="1" applyFont="1" applyBorder="1"/>
    <xf numFmtId="164" fontId="7" fillId="0" borderId="2" xfId="2" quotePrefix="1" applyNumberFormat="1" applyFont="1" applyBorder="1"/>
    <xf numFmtId="0" fontId="7" fillId="0" borderId="2" xfId="0" quotePrefix="1" applyFont="1" applyBorder="1" applyAlignment="1">
      <alignment horizontal="right" wrapText="1"/>
    </xf>
    <xf numFmtId="0" fontId="7" fillId="0" borderId="2" xfId="0" applyFont="1" applyBorder="1"/>
    <xf numFmtId="164" fontId="7" fillId="0" borderId="2" xfId="0" applyNumberFormat="1" applyFont="1" applyBorder="1"/>
    <xf numFmtId="0" fontId="60" fillId="0" borderId="0" xfId="0" applyFont="1" applyAlignment="1">
      <alignment vertical="center"/>
    </xf>
    <xf numFmtId="0" fontId="63" fillId="0" borderId="0" xfId="0" applyFont="1" applyAlignment="1">
      <alignment vertical="center"/>
    </xf>
    <xf numFmtId="0" fontId="54" fillId="0" borderId="0" xfId="0" applyFont="1" applyAlignment="1">
      <alignment vertical="center"/>
    </xf>
    <xf numFmtId="0" fontId="70" fillId="0" borderId="3" xfId="0" applyFont="1" applyBorder="1"/>
    <xf numFmtId="0" fontId="70" fillId="0" borderId="5" xfId="0" applyFont="1" applyBorder="1" applyAlignment="1">
      <alignment horizontal="center"/>
    </xf>
    <xf numFmtId="0" fontId="70" fillId="0" borderId="2" xfId="0" applyFont="1" applyBorder="1" applyAlignment="1">
      <alignment horizontal="center" vertical="center"/>
    </xf>
    <xf numFmtId="0" fontId="70" fillId="0" borderId="2" xfId="0" applyFont="1" applyBorder="1" applyAlignment="1">
      <alignment wrapText="1"/>
    </xf>
    <xf numFmtId="0" fontId="87" fillId="0" borderId="2" xfId="0" applyFont="1" applyBorder="1" applyAlignment="1">
      <alignment vertical="center" wrapText="1"/>
    </xf>
    <xf numFmtId="0" fontId="87" fillId="0" borderId="2" xfId="0" applyFont="1" applyBorder="1" applyAlignment="1">
      <alignment horizontal="center" vertical="center" wrapText="1"/>
    </xf>
    <xf numFmtId="0" fontId="88" fillId="0" borderId="2" xfId="0" applyFont="1" applyBorder="1" applyAlignment="1">
      <alignment horizontal="justify" vertical="center" wrapText="1"/>
    </xf>
    <xf numFmtId="0" fontId="87" fillId="12" borderId="2" xfId="0" applyFont="1" applyFill="1" applyBorder="1" applyAlignment="1">
      <alignment vertical="center"/>
    </xf>
    <xf numFmtId="0" fontId="70" fillId="0" borderId="2" xfId="0" applyFont="1" applyBorder="1" applyAlignment="1">
      <alignment horizontal="center" wrapText="1"/>
    </xf>
    <xf numFmtId="0" fontId="87" fillId="0" borderId="2" xfId="0" applyFont="1" applyBorder="1" applyAlignment="1">
      <alignment horizontal="left" vertical="center" wrapText="1" indent="3"/>
    </xf>
    <xf numFmtId="3" fontId="87" fillId="0" borderId="2" xfId="0" applyNumberFormat="1" applyFont="1" applyBorder="1" applyAlignment="1">
      <alignment vertical="center"/>
    </xf>
    <xf numFmtId="0" fontId="88" fillId="0" borderId="2" xfId="0" applyFont="1" applyBorder="1" applyAlignment="1">
      <alignment vertical="center" wrapText="1"/>
    </xf>
    <xf numFmtId="3" fontId="87" fillId="12" borderId="2" xfId="0" applyNumberFormat="1" applyFont="1" applyFill="1" applyBorder="1" applyAlignment="1">
      <alignment vertical="center"/>
    </xf>
    <xf numFmtId="0" fontId="87" fillId="0" borderId="2" xfId="0" applyFont="1" applyBorder="1" applyAlignment="1">
      <alignment horizontal="left" vertical="center" wrapText="1" indent="2"/>
    </xf>
    <xf numFmtId="0" fontId="6" fillId="0" borderId="0" xfId="0" applyFont="1" applyAlignment="1">
      <alignment horizontal="left" vertical="center"/>
    </xf>
    <xf numFmtId="0" fontId="0" fillId="0" borderId="0" xfId="0" applyAlignment="1">
      <alignment horizontal="left" vertical="center"/>
    </xf>
    <xf numFmtId="0" fontId="89" fillId="0" borderId="0" xfId="0" applyFont="1" applyAlignment="1">
      <alignment horizontal="left" vertical="center"/>
    </xf>
    <xf numFmtId="49" fontId="7" fillId="0" borderId="2" xfId="6" applyNumberFormat="1" applyFont="1" applyBorder="1" applyAlignment="1">
      <alignment horizontal="center" vertical="center" wrapText="1"/>
    </xf>
    <xf numFmtId="0" fontId="7" fillId="0" borderId="2" xfId="6" applyFont="1" applyBorder="1" applyAlignment="1">
      <alignment horizontal="center" vertical="center" wrapText="1"/>
    </xf>
    <xf numFmtId="0" fontId="7" fillId="0" borderId="2" xfId="6" applyFont="1" applyBorder="1" applyAlignment="1">
      <alignment horizontal="left" vertical="center" wrapText="1"/>
    </xf>
    <xf numFmtId="166" fontId="7" fillId="0" borderId="2" xfId="6" applyNumberFormat="1" applyFont="1" applyBorder="1" applyAlignment="1">
      <alignment horizontal="right" vertical="center" wrapText="1"/>
    </xf>
    <xf numFmtId="0" fontId="7" fillId="0" borderId="2" xfId="6" applyFont="1" applyBorder="1" applyAlignment="1">
      <alignment vertical="center" wrapText="1"/>
    </xf>
    <xf numFmtId="0" fontId="7" fillId="12" borderId="2" xfId="6" applyFont="1" applyFill="1" applyBorder="1" applyAlignment="1">
      <alignment horizontal="center" vertical="center" wrapText="1"/>
    </xf>
    <xf numFmtId="0" fontId="7" fillId="0" borderId="2" xfId="6" quotePrefix="1" applyFont="1" applyBorder="1" applyAlignment="1">
      <alignment horizontal="center" vertical="center" wrapText="1"/>
    </xf>
    <xf numFmtId="165" fontId="0" fillId="0" borderId="0" xfId="0" applyNumberFormat="1"/>
    <xf numFmtId="0" fontId="90" fillId="0" borderId="0" xfId="0" applyFont="1" applyAlignment="1">
      <alignment vertical="center"/>
    </xf>
    <xf numFmtId="0" fontId="0" fillId="0" borderId="0" xfId="0" applyAlignment="1">
      <alignment vertical="center"/>
    </xf>
    <xf numFmtId="165" fontId="0" fillId="0" borderId="0" xfId="0" applyNumberFormat="1" applyAlignment="1">
      <alignment vertical="center"/>
    </xf>
    <xf numFmtId="165" fontId="0" fillId="0" borderId="21" xfId="0" applyNumberFormat="1" applyBorder="1" applyAlignment="1">
      <alignment horizontal="center" vertical="center" wrapText="1"/>
    </xf>
    <xf numFmtId="165" fontId="0" fillId="0" borderId="37" xfId="0" applyNumberFormat="1" applyBorder="1" applyAlignment="1">
      <alignment horizontal="center" vertical="center" wrapText="1"/>
    </xf>
    <xf numFmtId="165" fontId="0" fillId="0" borderId="22" xfId="0" applyNumberFormat="1" applyBorder="1" applyAlignment="1">
      <alignment horizontal="center" vertical="center" wrapText="1"/>
    </xf>
    <xf numFmtId="165" fontId="0" fillId="0" borderId="41" xfId="0" applyNumberFormat="1" applyBorder="1" applyAlignment="1">
      <alignment horizontal="center" vertical="center"/>
    </xf>
    <xf numFmtId="165" fontId="33" fillId="0" borderId="29" xfId="0" applyNumberFormat="1" applyFont="1" applyBorder="1" applyAlignment="1">
      <alignment horizontal="center" vertical="center" wrapText="1"/>
    </xf>
    <xf numFmtId="165" fontId="33" fillId="0" borderId="23" xfId="0" applyNumberFormat="1" applyFont="1" applyBorder="1" applyAlignment="1">
      <alignment horizontal="center" vertical="center" wrapText="1"/>
    </xf>
    <xf numFmtId="0" fontId="93" fillId="13" borderId="21" xfId="0" applyFont="1" applyFill="1" applyBorder="1" applyAlignment="1">
      <alignment vertical="center"/>
    </xf>
    <xf numFmtId="0" fontId="93" fillId="13" borderId="24" xfId="0" applyFont="1" applyFill="1" applyBorder="1" applyAlignment="1">
      <alignment vertical="center"/>
    </xf>
    <xf numFmtId="165" fontId="93" fillId="13" borderId="24" xfId="0" applyNumberFormat="1" applyFont="1" applyFill="1" applyBorder="1" applyAlignment="1">
      <alignment vertical="center"/>
    </xf>
    <xf numFmtId="165" fontId="93" fillId="13" borderId="24" xfId="0" applyNumberFormat="1" applyFont="1" applyFill="1" applyBorder="1" applyAlignment="1">
      <alignment horizontal="center" vertical="center"/>
    </xf>
    <xf numFmtId="165" fontId="93" fillId="13" borderId="25" xfId="0" applyNumberFormat="1" applyFont="1" applyFill="1" applyBorder="1" applyAlignment="1">
      <alignment vertical="center"/>
    </xf>
    <xf numFmtId="0" fontId="33" fillId="12" borderId="34" xfId="0" applyFont="1" applyFill="1" applyBorder="1" applyAlignment="1">
      <alignment horizontal="center" vertical="center" wrapText="1"/>
    </xf>
    <xf numFmtId="0" fontId="33" fillId="12" borderId="35" xfId="0" applyFont="1" applyFill="1" applyBorder="1" applyAlignment="1">
      <alignment vertical="center" wrapText="1"/>
    </xf>
    <xf numFmtId="165" fontId="94" fillId="12" borderId="21" xfId="0" applyNumberFormat="1" applyFont="1" applyFill="1" applyBorder="1" applyAlignment="1">
      <alignment vertical="top" wrapText="1"/>
    </xf>
    <xf numFmtId="165" fontId="94" fillId="12" borderId="21" xfId="0" applyNumberFormat="1" applyFont="1" applyFill="1" applyBorder="1" applyAlignment="1">
      <alignment vertical="center" wrapText="1"/>
    </xf>
    <xf numFmtId="165" fontId="94" fillId="12" borderId="37" xfId="0" applyNumberFormat="1" applyFont="1" applyFill="1" applyBorder="1" applyAlignment="1">
      <alignment vertical="center" wrapText="1"/>
    </xf>
    <xf numFmtId="165" fontId="94" fillId="12" borderId="35" xfId="0" applyNumberFormat="1" applyFont="1" applyFill="1" applyBorder="1" applyAlignment="1">
      <alignment horizontal="center" vertical="center"/>
    </xf>
    <xf numFmtId="165" fontId="94" fillId="12" borderId="45" xfId="0" applyNumberFormat="1" applyFont="1" applyFill="1" applyBorder="1" applyAlignment="1">
      <alignment horizontal="center" vertical="center"/>
    </xf>
    <xf numFmtId="0" fontId="33" fillId="0" borderId="34" xfId="0" applyFont="1" applyBorder="1" applyAlignment="1">
      <alignment horizontal="center" vertical="center"/>
    </xf>
    <xf numFmtId="0" fontId="92" fillId="0" borderId="35" xfId="0" applyFont="1" applyBorder="1" applyAlignment="1">
      <alignment horizontal="left" vertical="center" wrapText="1" indent="2"/>
    </xf>
    <xf numFmtId="165" fontId="33" fillId="0" borderId="21" xfId="0" applyNumberFormat="1" applyFont="1" applyBorder="1" applyAlignment="1">
      <alignment vertical="center"/>
    </xf>
    <xf numFmtId="165" fontId="33" fillId="0" borderId="37" xfId="0" applyNumberFormat="1" applyFont="1" applyBorder="1" applyAlignment="1">
      <alignment vertical="center"/>
    </xf>
    <xf numFmtId="165" fontId="33" fillId="0" borderId="35" xfId="0" applyNumberFormat="1" applyFont="1" applyBorder="1" applyAlignment="1">
      <alignment horizontal="center" vertical="center" wrapText="1"/>
    </xf>
    <xf numFmtId="165" fontId="33" fillId="0" borderId="45" xfId="0" applyNumberFormat="1" applyFont="1" applyBorder="1" applyAlignment="1">
      <alignment horizontal="center" vertical="center" wrapText="1"/>
    </xf>
    <xf numFmtId="165" fontId="92" fillId="14" borderId="21" xfId="0" applyNumberFormat="1" applyFont="1" applyFill="1" applyBorder="1" applyAlignment="1">
      <alignment vertical="center" wrapText="1"/>
    </xf>
    <xf numFmtId="0" fontId="33" fillId="12" borderId="34" xfId="0" applyFont="1" applyFill="1" applyBorder="1" applyAlignment="1">
      <alignment horizontal="center" vertical="center"/>
    </xf>
    <xf numFmtId="165" fontId="94" fillId="12" borderId="35" xfId="0" applyNumberFormat="1" applyFont="1" applyFill="1" applyBorder="1" applyAlignment="1">
      <alignment horizontal="center" vertical="center" wrapText="1"/>
    </xf>
    <xf numFmtId="165" fontId="94" fillId="12" borderId="45" xfId="0" applyNumberFormat="1" applyFont="1" applyFill="1" applyBorder="1" applyAlignment="1">
      <alignment horizontal="center" vertical="center" wrapText="1"/>
    </xf>
    <xf numFmtId="165" fontId="33" fillId="0" borderId="21" xfId="0" applyNumberFormat="1" applyFont="1" applyBorder="1" applyAlignment="1">
      <alignment vertical="center" wrapText="1"/>
    </xf>
    <xf numFmtId="165" fontId="33" fillId="0" borderId="37" xfId="0" applyNumberFormat="1" applyFont="1" applyBorder="1" applyAlignment="1">
      <alignment vertical="center" wrapText="1"/>
    </xf>
    <xf numFmtId="165" fontId="33" fillId="7" borderId="21" xfId="0" applyNumberFormat="1" applyFont="1" applyFill="1" applyBorder="1" applyAlignment="1">
      <alignment vertical="center" wrapText="1"/>
    </xf>
    <xf numFmtId="0" fontId="92" fillId="0" borderId="46" xfId="0" applyFont="1" applyBorder="1" applyAlignment="1">
      <alignment horizontal="left" vertical="center" wrapText="1" indent="2"/>
    </xf>
    <xf numFmtId="165" fontId="92" fillId="14" borderId="37" xfId="0" applyNumberFormat="1" applyFont="1" applyFill="1" applyBorder="1" applyAlignment="1">
      <alignment vertical="center" wrapText="1"/>
    </xf>
    <xf numFmtId="165" fontId="92" fillId="14" borderId="35" xfId="0" applyNumberFormat="1" applyFont="1" applyFill="1" applyBorder="1" applyAlignment="1">
      <alignment vertical="center" wrapText="1"/>
    </xf>
    <xf numFmtId="165" fontId="33" fillId="15" borderId="45" xfId="0" applyNumberFormat="1" applyFont="1" applyFill="1" applyBorder="1" applyAlignment="1">
      <alignment horizontal="center" vertical="center" wrapText="1"/>
    </xf>
    <xf numFmtId="0" fontId="94" fillId="0" borderId="34" xfId="0" applyFont="1" applyBorder="1" applyAlignment="1">
      <alignment horizontal="center" vertical="center"/>
    </xf>
    <xf numFmtId="0" fontId="94" fillId="0" borderId="35" xfId="0" applyFont="1" applyBorder="1" applyAlignment="1">
      <alignment vertical="center" wrapText="1"/>
    </xf>
    <xf numFmtId="165" fontId="33" fillId="14" borderId="21" xfId="0" applyNumberFormat="1" applyFont="1" applyFill="1" applyBorder="1" applyAlignment="1">
      <alignment vertical="center"/>
    </xf>
    <xf numFmtId="165" fontId="33" fillId="14" borderId="37" xfId="0" applyNumberFormat="1" applyFont="1" applyFill="1" applyBorder="1" applyAlignment="1">
      <alignment vertical="center"/>
    </xf>
    <xf numFmtId="165" fontId="33" fillId="14" borderId="35" xfId="0" applyNumberFormat="1" applyFont="1" applyFill="1" applyBorder="1" applyAlignment="1">
      <alignment vertical="center"/>
    </xf>
    <xf numFmtId="165" fontId="94" fillId="0" borderId="45" xfId="0" applyNumberFormat="1" applyFont="1" applyBorder="1" applyAlignment="1">
      <alignment horizontal="center" vertical="center"/>
    </xf>
    <xf numFmtId="165" fontId="33" fillId="14" borderId="21" xfId="0" applyNumberFormat="1" applyFont="1" applyFill="1" applyBorder="1" applyAlignment="1">
      <alignment vertical="center" wrapText="1"/>
    </xf>
    <xf numFmtId="165" fontId="94" fillId="14" borderId="21" xfId="0" applyNumberFormat="1" applyFont="1" applyFill="1" applyBorder="1" applyAlignment="1">
      <alignment vertical="center" wrapText="1"/>
    </xf>
    <xf numFmtId="165" fontId="94" fillId="14" borderId="37" xfId="0" applyNumberFormat="1" applyFont="1" applyFill="1" applyBorder="1" applyAlignment="1">
      <alignment vertical="center" wrapText="1"/>
    </xf>
    <xf numFmtId="165" fontId="94" fillId="14" borderId="37" xfId="0" applyNumberFormat="1" applyFont="1" applyFill="1" applyBorder="1" applyAlignment="1">
      <alignment horizontal="center" vertical="center" wrapText="1"/>
    </xf>
    <xf numFmtId="165" fontId="94" fillId="16" borderId="45" xfId="0" applyNumberFormat="1" applyFont="1" applyFill="1" applyBorder="1" applyAlignment="1">
      <alignment horizontal="center" vertical="center" wrapText="1"/>
    </xf>
    <xf numFmtId="165" fontId="33" fillId="14" borderId="21" xfId="0" applyNumberFormat="1" applyFont="1" applyFill="1" applyBorder="1" applyAlignment="1">
      <alignment horizontal="center" vertical="center" wrapText="1"/>
    </xf>
    <xf numFmtId="165" fontId="94" fillId="12" borderId="37" xfId="0" applyNumberFormat="1" applyFont="1" applyFill="1" applyBorder="1" applyAlignment="1">
      <alignment horizontal="center" vertical="center" wrapText="1"/>
    </xf>
    <xf numFmtId="0" fontId="95" fillId="0" borderId="35" xfId="0" applyFont="1" applyBorder="1" applyAlignment="1">
      <alignment horizontal="left" vertical="center" wrapText="1" indent="2"/>
    </xf>
    <xf numFmtId="165" fontId="33" fillId="0" borderId="37" xfId="0" applyNumberFormat="1" applyFont="1" applyBorder="1" applyAlignment="1">
      <alignment horizontal="center" vertical="center" wrapText="1"/>
    </xf>
    <xf numFmtId="0" fontId="92" fillId="0" borderId="35" xfId="0" applyFont="1" applyBorder="1" applyAlignment="1">
      <alignment horizontal="left" vertical="center" wrapText="1" indent="4"/>
    </xf>
    <xf numFmtId="165" fontId="94" fillId="12" borderId="21" xfId="0" quotePrefix="1" applyNumberFormat="1" applyFont="1" applyFill="1" applyBorder="1" applyAlignment="1">
      <alignment vertical="center" wrapText="1"/>
    </xf>
    <xf numFmtId="165" fontId="94" fillId="12" borderId="37" xfId="0" quotePrefix="1" applyNumberFormat="1" applyFont="1" applyFill="1" applyBorder="1" applyAlignment="1">
      <alignment vertical="center" wrapText="1"/>
    </xf>
    <xf numFmtId="165" fontId="94" fillId="12" borderId="37" xfId="0" quotePrefix="1" applyNumberFormat="1" applyFont="1" applyFill="1" applyBorder="1" applyAlignment="1">
      <alignment horizontal="center" vertical="center" wrapText="1"/>
    </xf>
    <xf numFmtId="165" fontId="94" fillId="12" borderId="35" xfId="0" quotePrefix="1" applyNumberFormat="1" applyFont="1" applyFill="1" applyBorder="1" applyAlignment="1">
      <alignment horizontal="center" vertical="center" wrapText="1"/>
    </xf>
    <xf numFmtId="165" fontId="33" fillId="14" borderId="23" xfId="0" applyNumberFormat="1" applyFont="1" applyFill="1" applyBorder="1" applyAlignment="1">
      <alignment vertical="center" wrapText="1"/>
    </xf>
    <xf numFmtId="165" fontId="33" fillId="7" borderId="45" xfId="0" applyNumberFormat="1" applyFont="1" applyFill="1" applyBorder="1" applyAlignment="1">
      <alignment horizontal="center" vertical="center" wrapText="1"/>
    </xf>
    <xf numFmtId="165" fontId="33" fillId="0" borderId="47" xfId="0" applyNumberFormat="1" applyFont="1" applyBorder="1" applyAlignment="1">
      <alignment vertical="center" wrapText="1"/>
    </xf>
    <xf numFmtId="165" fontId="33" fillId="0" borderId="41" xfId="0" applyNumberFormat="1" applyFont="1" applyBorder="1" applyAlignment="1">
      <alignment vertical="center" wrapText="1"/>
    </xf>
    <xf numFmtId="165" fontId="33" fillId="15" borderId="21" xfId="0" applyNumberFormat="1" applyFont="1" applyFill="1" applyBorder="1" applyAlignment="1">
      <alignment vertical="center" wrapText="1"/>
    </xf>
    <xf numFmtId="165" fontId="33" fillId="14" borderId="48" xfId="0" applyNumberFormat="1" applyFont="1" applyFill="1" applyBorder="1" applyAlignment="1">
      <alignment vertical="center" wrapText="1"/>
    </xf>
    <xf numFmtId="165" fontId="96" fillId="7" borderId="21" xfId="0" applyNumberFormat="1" applyFont="1" applyFill="1" applyBorder="1" applyAlignment="1">
      <alignment vertical="center" wrapText="1"/>
    </xf>
    <xf numFmtId="165" fontId="96" fillId="7" borderId="37" xfId="0" applyNumberFormat="1" applyFont="1" applyFill="1" applyBorder="1" applyAlignment="1">
      <alignment vertical="center" wrapText="1"/>
    </xf>
    <xf numFmtId="165" fontId="94" fillId="7" borderId="21" xfId="0" applyNumberFormat="1" applyFont="1" applyFill="1" applyBorder="1" applyAlignment="1">
      <alignment vertical="center" wrapText="1"/>
    </xf>
    <xf numFmtId="165" fontId="94" fillId="7" borderId="37" xfId="0" applyNumberFormat="1" applyFont="1" applyFill="1" applyBorder="1" applyAlignment="1">
      <alignment vertical="center" wrapText="1"/>
    </xf>
    <xf numFmtId="165" fontId="94" fillId="7" borderId="37" xfId="0" applyNumberFormat="1" applyFont="1" applyFill="1" applyBorder="1" applyAlignment="1">
      <alignment horizontal="center" vertical="center" wrapText="1"/>
    </xf>
    <xf numFmtId="165" fontId="94" fillId="7" borderId="45" xfId="0" quotePrefix="1" applyNumberFormat="1" applyFont="1" applyFill="1" applyBorder="1" applyAlignment="1">
      <alignment horizontal="center" vertical="center"/>
    </xf>
    <xf numFmtId="165" fontId="33" fillId="14" borderId="37" xfId="0" applyNumberFormat="1" applyFont="1" applyFill="1" applyBorder="1" applyAlignment="1">
      <alignment horizontal="center" vertical="center"/>
    </xf>
    <xf numFmtId="0" fontId="94" fillId="0" borderId="22" xfId="0" applyFont="1" applyBorder="1" applyAlignment="1">
      <alignment vertical="center" wrapText="1"/>
    </xf>
    <xf numFmtId="10" fontId="94" fillId="0" borderId="22" xfId="0" applyNumberFormat="1" applyFont="1" applyBorder="1" applyAlignment="1">
      <alignment vertical="center"/>
    </xf>
    <xf numFmtId="0" fontId="97" fillId="0" borderId="0" xfId="0" applyFont="1"/>
    <xf numFmtId="0" fontId="97" fillId="0" borderId="0" xfId="0" applyFont="1" applyAlignment="1">
      <alignment horizontal="right"/>
    </xf>
    <xf numFmtId="4" fontId="0" fillId="0" borderId="0" xfId="0" applyNumberFormat="1"/>
    <xf numFmtId="0" fontId="4" fillId="13" borderId="0" xfId="0" applyFont="1" applyFill="1" applyAlignment="1">
      <alignment horizontal="right"/>
    </xf>
    <xf numFmtId="0" fontId="53" fillId="17" borderId="0" xfId="7" applyFont="1" applyFill="1"/>
    <xf numFmtId="167" fontId="53" fillId="17" borderId="0" xfId="8" applyNumberFormat="1" applyFont="1" applyFill="1" applyAlignment="1">
      <alignment horizontal="right" vertical="center"/>
    </xf>
    <xf numFmtId="164" fontId="53" fillId="17" borderId="0" xfId="2" applyNumberFormat="1" applyFont="1" applyFill="1" applyBorder="1" applyAlignment="1">
      <alignment horizontal="right" vertical="center"/>
    </xf>
    <xf numFmtId="2" fontId="101" fillId="17" borderId="4" xfId="7" applyNumberFormat="1" applyFont="1" applyFill="1" applyBorder="1"/>
    <xf numFmtId="167" fontId="101" fillId="17" borderId="4" xfId="8" applyNumberFormat="1" applyFont="1" applyFill="1" applyBorder="1" applyAlignment="1">
      <alignment horizontal="right" vertical="center"/>
    </xf>
    <xf numFmtId="164" fontId="101" fillId="17" borderId="4" xfId="8" applyNumberFormat="1" applyFont="1" applyFill="1" applyBorder="1" applyAlignment="1">
      <alignment horizontal="right" vertical="center"/>
    </xf>
    <xf numFmtId="166" fontId="53" fillId="17" borderId="20" xfId="8" applyNumberFormat="1" applyFont="1" applyFill="1" applyBorder="1" applyAlignment="1">
      <alignment horizontal="right" vertical="center"/>
    </xf>
    <xf numFmtId="164" fontId="53" fillId="17" borderId="20" xfId="8" applyNumberFormat="1" applyFont="1" applyFill="1" applyBorder="1" applyAlignment="1">
      <alignment horizontal="right" vertical="center"/>
    </xf>
    <xf numFmtId="0" fontId="98" fillId="17" borderId="11" xfId="7" applyFont="1" applyFill="1" applyBorder="1" applyAlignment="1">
      <alignment horizontal="left"/>
    </xf>
    <xf numFmtId="166" fontId="99" fillId="17" borderId="49" xfId="8" applyNumberFormat="1" applyFont="1" applyFill="1" applyBorder="1" applyAlignment="1">
      <alignment horizontal="right" vertical="center"/>
    </xf>
    <xf numFmtId="164" fontId="99" fillId="17" borderId="49" xfId="8" applyNumberFormat="1" applyFont="1" applyFill="1" applyBorder="1" applyAlignment="1">
      <alignment horizontal="right" vertical="center"/>
    </xf>
    <xf numFmtId="164" fontId="53" fillId="17" borderId="0" xfId="8" applyNumberFormat="1" applyFont="1" applyFill="1" applyAlignment="1">
      <alignment horizontal="right" vertical="center"/>
    </xf>
    <xf numFmtId="0" fontId="102" fillId="0" borderId="0" xfId="0" applyFont="1" applyAlignment="1">
      <alignment horizontal="left" vertical="center" wrapText="1"/>
    </xf>
    <xf numFmtId="0" fontId="53" fillId="0" borderId="0" xfId="0" applyFont="1" applyAlignment="1">
      <alignment horizontal="left" vertical="center" wrapText="1"/>
    </xf>
    <xf numFmtId="0" fontId="101" fillId="0" borderId="0" xfId="0" applyFont="1" applyAlignment="1">
      <alignment horizontal="left" vertical="center" wrapText="1"/>
    </xf>
    <xf numFmtId="0" fontId="105" fillId="0" borderId="0" xfId="0" applyFont="1" applyAlignment="1">
      <alignment horizontal="left" vertical="center" wrapText="1"/>
    </xf>
    <xf numFmtId="0" fontId="67" fillId="0" borderId="0" xfId="0" applyFont="1" applyAlignment="1">
      <alignment horizontal="left" vertical="center" wrapText="1"/>
    </xf>
    <xf numFmtId="0" fontId="107" fillId="0" borderId="0" xfId="0" applyFont="1" applyAlignment="1">
      <alignment horizontal="left" vertical="center" wrapText="1"/>
    </xf>
    <xf numFmtId="0" fontId="108" fillId="0" borderId="0" xfId="9"/>
    <xf numFmtId="0" fontId="108" fillId="0" borderId="0" xfId="9" quotePrefix="1"/>
    <xf numFmtId="0" fontId="53" fillId="0" borderId="0" xfId="0" quotePrefix="1" applyFont="1" applyAlignment="1">
      <alignment horizontal="left" vertical="center" wrapText="1"/>
    </xf>
    <xf numFmtId="0" fontId="53" fillId="0" borderId="0" xfId="0" applyFont="1" applyAlignment="1">
      <alignment horizontal="left" vertical="center" wrapText="1"/>
    </xf>
    <xf numFmtId="0" fontId="6" fillId="0" borderId="0" xfId="0" applyFont="1" applyAlignment="1">
      <alignment horizontal="left" wrapText="1"/>
    </xf>
    <xf numFmtId="2" fontId="101" fillId="17" borderId="4" xfId="7" applyNumberFormat="1" applyFont="1" applyFill="1" applyBorder="1" applyAlignment="1">
      <alignment horizontal="left"/>
    </xf>
    <xf numFmtId="0" fontId="53" fillId="17" borderId="4" xfId="7" applyFont="1" applyFill="1" applyBorder="1" applyAlignment="1">
      <alignment horizontal="left" wrapText="1"/>
    </xf>
    <xf numFmtId="0" fontId="53" fillId="17" borderId="11" xfId="7" applyFont="1" applyFill="1" applyBorder="1" applyAlignment="1">
      <alignment horizontal="left" vertical="center" wrapText="1"/>
    </xf>
    <xf numFmtId="0" fontId="100" fillId="13" borderId="0" xfId="0" applyFont="1" applyFill="1" applyAlignment="1">
      <alignment horizontal="left" vertical="top" wrapText="1"/>
    </xf>
    <xf numFmtId="0" fontId="100" fillId="13" borderId="0" xfId="0" applyFont="1" applyFill="1" applyAlignment="1">
      <alignment horizontal="center" vertical="top"/>
    </xf>
    <xf numFmtId="0" fontId="53" fillId="17" borderId="20" xfId="7" applyFont="1" applyFill="1" applyBorder="1" applyAlignment="1">
      <alignment wrapText="1"/>
    </xf>
    <xf numFmtId="0" fontId="53" fillId="17" borderId="0" xfId="7" applyFont="1" applyFill="1" applyAlignment="1">
      <alignment horizontal="left" wrapText="1"/>
    </xf>
    <xf numFmtId="0" fontId="53" fillId="17" borderId="4" xfId="7" applyFont="1" applyFill="1" applyBorder="1" applyAlignment="1">
      <alignment horizontal="left" vertical="center" wrapText="1"/>
    </xf>
    <xf numFmtId="0" fontId="53" fillId="17" borderId="11" xfId="7" applyFont="1" applyFill="1" applyBorder="1" applyAlignment="1">
      <alignment horizontal="left"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8" fillId="0" borderId="0" xfId="0" applyFont="1" applyAlignment="1">
      <alignment vertical="center" wrapText="1"/>
    </xf>
    <xf numFmtId="0" fontId="19" fillId="2" borderId="10"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18"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11" xfId="0" applyFont="1" applyFill="1" applyBorder="1" applyAlignment="1">
      <alignment horizontal="center" vertical="center"/>
    </xf>
    <xf numFmtId="0" fontId="27" fillId="3" borderId="16" xfId="0" applyFont="1" applyFill="1" applyBorder="1" applyAlignment="1">
      <alignment horizontal="center" vertical="center"/>
    </xf>
    <xf numFmtId="0" fontId="35" fillId="0" borderId="21"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36" xfId="0" applyFont="1" applyBorder="1" applyAlignment="1">
      <alignment horizontal="center" vertical="center" wrapText="1"/>
    </xf>
    <xf numFmtId="0" fontId="0" fillId="0" borderId="2" xfId="0" applyBorder="1" applyAlignment="1">
      <alignment horizont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9" fontId="25" fillId="0" borderId="2" xfId="0" applyNumberFormat="1" applyFont="1" applyBorder="1" applyAlignment="1">
      <alignment horizontal="center" vertical="center"/>
    </xf>
    <xf numFmtId="9" fontId="25" fillId="0" borderId="2" xfId="0" applyNumberFormat="1" applyFont="1" applyBorder="1" applyAlignment="1">
      <alignment horizontal="center" vertical="center" wrapText="1"/>
    </xf>
    <xf numFmtId="0" fontId="70" fillId="0" borderId="17" xfId="0" applyFont="1" applyBorder="1" applyAlignment="1">
      <alignment vertical="center" wrapText="1"/>
    </xf>
    <xf numFmtId="0" fontId="70" fillId="0" borderId="6" xfId="0" applyFont="1" applyBorder="1" applyAlignment="1">
      <alignment vertical="center" wrapText="1"/>
    </xf>
    <xf numFmtId="0" fontId="71"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78" fillId="0" borderId="2" xfId="0" applyFont="1" applyBorder="1" applyAlignment="1">
      <alignment horizontal="center" vertical="center" wrapText="1"/>
    </xf>
    <xf numFmtId="0" fontId="78" fillId="0" borderId="2" xfId="0" applyFont="1" applyBorder="1" applyAlignment="1">
      <alignment horizontal="center" vertical="center"/>
    </xf>
    <xf numFmtId="0" fontId="70" fillId="0" borderId="5"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1" fillId="0" borderId="6" xfId="0" applyFont="1" applyBorder="1" applyAlignment="1">
      <alignment vertical="center" wrapText="1"/>
    </xf>
    <xf numFmtId="0" fontId="71" fillId="0" borderId="2" xfId="0" applyFont="1" applyBorder="1" applyAlignment="1">
      <alignment vertical="center" wrapText="1"/>
    </xf>
    <xf numFmtId="0" fontId="7" fillId="0" borderId="18" xfId="6" applyFont="1" applyBorder="1" applyAlignment="1">
      <alignment horizontal="center" vertical="center" wrapText="1"/>
    </xf>
    <xf numFmtId="0" fontId="7" fillId="0" borderId="19" xfId="6" applyFont="1" applyBorder="1" applyAlignment="1">
      <alignment horizontal="center" vertical="center" wrapText="1"/>
    </xf>
    <xf numFmtId="0" fontId="7" fillId="0" borderId="38"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0"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3" xfId="6" applyFont="1" applyBorder="1" applyAlignment="1">
      <alignment horizontal="center" vertical="center" wrapText="1"/>
    </xf>
    <xf numFmtId="0" fontId="7" fillId="0" borderId="5" xfId="6" applyFont="1" applyBorder="1" applyAlignment="1">
      <alignment horizontal="center" vertical="center" wrapText="1"/>
    </xf>
    <xf numFmtId="0" fontId="91" fillId="0" borderId="39" xfId="0" applyFont="1" applyBorder="1" applyAlignment="1">
      <alignment vertical="center"/>
    </xf>
    <xf numFmtId="0" fontId="91" fillId="0" borderId="40" xfId="0" applyFont="1" applyBorder="1" applyAlignment="1">
      <alignment vertical="center"/>
    </xf>
    <xf numFmtId="0" fontId="92" fillId="0" borderId="29" xfId="0" applyFont="1" applyBorder="1" applyAlignment="1">
      <alignment vertical="center"/>
    </xf>
    <xf numFmtId="0" fontId="92" fillId="0" borderId="28" xfId="0" applyFont="1" applyBorder="1" applyAlignment="1">
      <alignment vertical="center"/>
    </xf>
    <xf numFmtId="0" fontId="92" fillId="0" borderId="43" xfId="0" applyFont="1" applyBorder="1" applyAlignment="1">
      <alignment vertical="center"/>
    </xf>
    <xf numFmtId="0" fontId="92" fillId="0" borderId="1" xfId="0" applyFont="1" applyBorder="1" applyAlignment="1">
      <alignment vertical="center"/>
    </xf>
    <xf numFmtId="165" fontId="33" fillId="0" borderId="21" xfId="0" applyNumberFormat="1" applyFont="1" applyBorder="1" applyAlignment="1">
      <alignment horizontal="center" vertical="center" wrapText="1"/>
    </xf>
    <xf numFmtId="165" fontId="33" fillId="0" borderId="24" xfId="0" applyNumberFormat="1" applyFont="1" applyBorder="1" applyAlignment="1">
      <alignment horizontal="center" vertical="center" wrapText="1"/>
    </xf>
    <xf numFmtId="165" fontId="33" fillId="0" borderId="22" xfId="0" applyNumberFormat="1" applyFont="1" applyBorder="1" applyAlignment="1">
      <alignment horizontal="center" vertical="center" wrapText="1"/>
    </xf>
    <xf numFmtId="165" fontId="33" fillId="0" borderId="42" xfId="0" applyNumberFormat="1" applyFont="1" applyBorder="1" applyAlignment="1">
      <alignment horizontal="center" vertical="center" wrapText="1"/>
    </xf>
    <xf numFmtId="165" fontId="33" fillId="0" borderId="44" xfId="0" applyNumberFormat="1" applyFont="1" applyBorder="1" applyAlignment="1">
      <alignment horizontal="center" vertical="center" wrapText="1"/>
    </xf>
    <xf numFmtId="0" fontId="93" fillId="13" borderId="21" xfId="0" applyFont="1" applyFill="1" applyBorder="1" applyAlignment="1">
      <alignment horizontal="left" vertical="center"/>
    </xf>
    <xf numFmtId="0" fontId="93" fillId="13" borderId="24" xfId="0" applyFont="1" applyFill="1" applyBorder="1" applyAlignment="1">
      <alignment horizontal="left" vertical="center"/>
    </xf>
    <xf numFmtId="0" fontId="93" fillId="13" borderId="25" xfId="0" applyFont="1" applyFill="1" applyBorder="1" applyAlignment="1">
      <alignment horizontal="left" vertical="center"/>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0" borderId="2"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25" fillId="2" borderId="3" xfId="0" applyFont="1" applyFill="1" applyBorder="1" applyAlignment="1">
      <alignment horizontal="center"/>
    </xf>
    <xf numFmtId="0" fontId="25" fillId="2" borderId="4" xfId="0" applyFont="1" applyFill="1" applyBorder="1" applyAlignment="1">
      <alignment horizontal="center"/>
    </xf>
    <xf numFmtId="0" fontId="25" fillId="2" borderId="5" xfId="0" applyFont="1" applyFill="1" applyBorder="1" applyAlignment="1">
      <alignment horizontal="center"/>
    </xf>
  </cellXfs>
  <cellStyles count="10">
    <cellStyle name="=C:\WINNT35\SYSTEM32\COMMAND.COM" xfId="3" xr:uid="{4A1C12B2-57EF-4370-8FA2-25A57DB2CF40}"/>
    <cellStyle name="Komma" xfId="1" builtinId="3"/>
    <cellStyle name="Link" xfId="9" builtinId="8"/>
    <cellStyle name="Normal" xfId="0" builtinId="0"/>
    <cellStyle name="Normal 2" xfId="5" xr:uid="{86358CC8-8937-43E4-B1ED-BF685D9E2597}"/>
    <cellStyle name="Normal 3 2" xfId="7" xr:uid="{546EFD49-6AB1-4F25-9368-36874F60FF79}"/>
    <cellStyle name="Normal_20 OPR" xfId="6" xr:uid="{1CDD8AA4-46B6-45A2-8007-5E88B333D96A}"/>
    <cellStyle name="Normal_Tables for PP" xfId="8" xr:uid="{A4851E71-EFB9-4B29-824B-557573964CA2}"/>
    <cellStyle name="optionalExposure" xfId="4" xr:uid="{BEB9F358-7BBC-4402-A1A6-59621DB52425}"/>
    <cellStyle name="Pro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4533900</xdr:colOff>
      <xdr:row>0</xdr:row>
      <xdr:rowOff>50800</xdr:rowOff>
    </xdr:from>
    <xdr:to>
      <xdr:col>1</xdr:col>
      <xdr:colOff>990599</xdr:colOff>
      <xdr:row>0</xdr:row>
      <xdr:rowOff>323850</xdr:rowOff>
    </xdr:to>
    <xdr:pic>
      <xdr:nvPicPr>
        <xdr:cNvPr id="2" name="Picture 1" descr="AL-logo_1 linie_cmyk">
          <a:extLst>
            <a:ext uri="{FF2B5EF4-FFF2-40B4-BE49-F238E27FC236}">
              <a16:creationId xmlns:a16="http://schemas.microsoft.com/office/drawing/2014/main" id="{78E188CF-97F6-4A64-8DD1-7C0E061277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50800"/>
          <a:ext cx="3041649"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xdr:row>
      <xdr:rowOff>133350</xdr:rowOff>
    </xdr:from>
    <xdr:to>
      <xdr:col>4</xdr:col>
      <xdr:colOff>666749</xdr:colOff>
      <xdr:row>1</xdr:row>
      <xdr:rowOff>400050</xdr:rowOff>
    </xdr:to>
    <xdr:pic>
      <xdr:nvPicPr>
        <xdr:cNvPr id="2" name="Picture 1" descr="AL-logo_1 linie_cmyk">
          <a:extLst>
            <a:ext uri="{FF2B5EF4-FFF2-40B4-BE49-F238E27FC236}">
              <a16:creationId xmlns:a16="http://schemas.microsoft.com/office/drawing/2014/main" id="{2821A785-5ADB-473D-B8F8-DA8D1287C8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133350"/>
          <a:ext cx="2184399"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FE5D-7C08-4639-A932-1CE9F2CE752B}">
  <dimension ref="A1:B41"/>
  <sheetViews>
    <sheetView zoomScaleNormal="100" workbookViewId="0">
      <selection activeCell="A5" sqref="A5:B5"/>
    </sheetView>
  </sheetViews>
  <sheetFormatPr defaultRowHeight="14.5" x14ac:dyDescent="0.35"/>
  <cols>
    <col min="1" max="1" width="94.26953125" customWidth="1"/>
    <col min="2" max="2" width="14.453125" customWidth="1"/>
  </cols>
  <sheetData>
    <row r="1" spans="1:2" ht="28" customHeight="1" x14ac:dyDescent="0.35"/>
    <row r="2" spans="1:2" ht="26" x14ac:dyDescent="0.35">
      <c r="A2" s="478" t="s">
        <v>0</v>
      </c>
    </row>
    <row r="3" spans="1:2" x14ac:dyDescent="0.35">
      <c r="A3" s="479"/>
    </row>
    <row r="4" spans="1:2" x14ac:dyDescent="0.35">
      <c r="A4" s="480" t="s">
        <v>1</v>
      </c>
    </row>
    <row r="5" spans="1:2" ht="57.65" customHeight="1" x14ac:dyDescent="0.35">
      <c r="A5" s="487" t="s">
        <v>2</v>
      </c>
      <c r="B5" s="487"/>
    </row>
    <row r="6" spans="1:2" ht="49.5" customHeight="1" x14ac:dyDescent="0.35">
      <c r="A6" s="487" t="s">
        <v>3</v>
      </c>
      <c r="B6" s="487"/>
    </row>
    <row r="7" spans="1:2" ht="45" customHeight="1" x14ac:dyDescent="0.35">
      <c r="A7" s="487" t="s">
        <v>4</v>
      </c>
      <c r="B7" s="487"/>
    </row>
    <row r="8" spans="1:2" ht="24.65" customHeight="1" x14ac:dyDescent="0.35">
      <c r="A8" s="487" t="s">
        <v>5</v>
      </c>
      <c r="B8" s="487"/>
    </row>
    <row r="9" spans="1:2" x14ac:dyDescent="0.35">
      <c r="A9" s="486" t="s">
        <v>6</v>
      </c>
      <c r="B9" s="486"/>
    </row>
    <row r="10" spans="1:2" x14ac:dyDescent="0.35">
      <c r="A10" s="486" t="s">
        <v>7</v>
      </c>
      <c r="B10" s="486"/>
    </row>
    <row r="11" spans="1:2" x14ac:dyDescent="0.35">
      <c r="A11" s="486" t="s">
        <v>8</v>
      </c>
      <c r="B11" s="486"/>
    </row>
    <row r="12" spans="1:2" x14ac:dyDescent="0.35">
      <c r="A12" s="486" t="s">
        <v>9</v>
      </c>
      <c r="B12" s="486"/>
    </row>
    <row r="13" spans="1:2" x14ac:dyDescent="0.35">
      <c r="A13" s="481"/>
    </row>
    <row r="14" spans="1:2" ht="34.5" customHeight="1" x14ac:dyDescent="0.35">
      <c r="A14" s="482" t="s">
        <v>10</v>
      </c>
    </row>
    <row r="15" spans="1:2" x14ac:dyDescent="0.35">
      <c r="A15" s="483" t="s">
        <v>11</v>
      </c>
    </row>
    <row r="16" spans="1:2" x14ac:dyDescent="0.35">
      <c r="A16" s="479" t="s">
        <v>12</v>
      </c>
      <c r="B16" s="484" t="s">
        <v>13</v>
      </c>
    </row>
    <row r="17" spans="1:2" x14ac:dyDescent="0.35">
      <c r="A17" s="479" t="s">
        <v>14</v>
      </c>
      <c r="B17" s="485" t="s">
        <v>15</v>
      </c>
    </row>
    <row r="18" spans="1:2" x14ac:dyDescent="0.35">
      <c r="A18" s="479" t="s">
        <v>16</v>
      </c>
      <c r="B18" s="485" t="s">
        <v>17</v>
      </c>
    </row>
    <row r="19" spans="1:2" x14ac:dyDescent="0.35">
      <c r="A19" s="479" t="s">
        <v>18</v>
      </c>
      <c r="B19" s="485" t="s">
        <v>19</v>
      </c>
    </row>
    <row r="20" spans="1:2" x14ac:dyDescent="0.35">
      <c r="A20" s="479" t="s">
        <v>20</v>
      </c>
      <c r="B20" s="485" t="s">
        <v>21</v>
      </c>
    </row>
    <row r="21" spans="1:2" x14ac:dyDescent="0.35">
      <c r="A21" s="483" t="s">
        <v>22</v>
      </c>
    </row>
    <row r="22" spans="1:2" x14ac:dyDescent="0.35">
      <c r="A22" s="479" t="s">
        <v>23</v>
      </c>
      <c r="B22" s="485" t="s">
        <v>24</v>
      </c>
    </row>
    <row r="23" spans="1:2" x14ac:dyDescent="0.35">
      <c r="A23" s="479" t="s">
        <v>25</v>
      </c>
      <c r="B23" s="485" t="s">
        <v>26</v>
      </c>
    </row>
    <row r="24" spans="1:2" x14ac:dyDescent="0.35">
      <c r="A24" s="479" t="s">
        <v>27</v>
      </c>
      <c r="B24" s="485" t="s">
        <v>28</v>
      </c>
    </row>
    <row r="25" spans="1:2" x14ac:dyDescent="0.35">
      <c r="A25" s="479" t="s">
        <v>29</v>
      </c>
      <c r="B25" s="485" t="s">
        <v>30</v>
      </c>
    </row>
    <row r="26" spans="1:2" x14ac:dyDescent="0.35">
      <c r="A26" s="479" t="s">
        <v>31</v>
      </c>
      <c r="B26" s="485" t="s">
        <v>32</v>
      </c>
    </row>
    <row r="27" spans="1:2" x14ac:dyDescent="0.35">
      <c r="A27" s="479" t="s">
        <v>33</v>
      </c>
      <c r="B27" s="485" t="s">
        <v>34</v>
      </c>
    </row>
    <row r="28" spans="1:2" x14ac:dyDescent="0.35">
      <c r="A28" s="483" t="s">
        <v>35</v>
      </c>
    </row>
    <row r="29" spans="1:2" x14ac:dyDescent="0.35">
      <c r="A29" s="479" t="s">
        <v>36</v>
      </c>
      <c r="B29" s="485" t="s">
        <v>37</v>
      </c>
    </row>
    <row r="30" spans="1:2" x14ac:dyDescent="0.35">
      <c r="A30" s="479" t="s">
        <v>38</v>
      </c>
      <c r="B30" s="485" t="s">
        <v>39</v>
      </c>
    </row>
    <row r="31" spans="1:2" x14ac:dyDescent="0.35">
      <c r="A31" s="479" t="s">
        <v>40</v>
      </c>
      <c r="B31" s="485" t="s">
        <v>41</v>
      </c>
    </row>
    <row r="32" spans="1:2" x14ac:dyDescent="0.35">
      <c r="A32" s="479" t="s">
        <v>42</v>
      </c>
      <c r="B32" s="485" t="s">
        <v>43</v>
      </c>
    </row>
    <row r="33" spans="1:2" x14ac:dyDescent="0.35">
      <c r="A33" s="479" t="s">
        <v>44</v>
      </c>
      <c r="B33" s="485" t="s">
        <v>45</v>
      </c>
    </row>
    <row r="34" spans="1:2" x14ac:dyDescent="0.35">
      <c r="A34" s="483" t="s">
        <v>46</v>
      </c>
    </row>
    <row r="35" spans="1:2" x14ac:dyDescent="0.35">
      <c r="A35" s="479" t="s">
        <v>47</v>
      </c>
      <c r="B35" s="485" t="s">
        <v>48</v>
      </c>
    </row>
    <row r="36" spans="1:2" x14ac:dyDescent="0.35">
      <c r="A36" s="479" t="s">
        <v>49</v>
      </c>
      <c r="B36" s="485" t="s">
        <v>50</v>
      </c>
    </row>
    <row r="37" spans="1:2" x14ac:dyDescent="0.35">
      <c r="A37" s="483" t="s">
        <v>51</v>
      </c>
    </row>
    <row r="38" spans="1:2" x14ac:dyDescent="0.35">
      <c r="A38" s="479" t="s">
        <v>52</v>
      </c>
      <c r="B38" s="485" t="s">
        <v>53</v>
      </c>
    </row>
    <row r="39" spans="1:2" ht="31.5" customHeight="1" x14ac:dyDescent="0.35">
      <c r="A39" s="483" t="s">
        <v>54</v>
      </c>
    </row>
    <row r="40" spans="1:2" x14ac:dyDescent="0.35">
      <c r="A40" s="479" t="s">
        <v>55</v>
      </c>
      <c r="B40" s="485" t="s">
        <v>56</v>
      </c>
    </row>
    <row r="41" spans="1:2" x14ac:dyDescent="0.35">
      <c r="A41" s="479" t="s">
        <v>57</v>
      </c>
      <c r="B41" s="485" t="s">
        <v>58</v>
      </c>
    </row>
  </sheetData>
  <mergeCells count="8">
    <mergeCell ref="A10:B10"/>
    <mergeCell ref="A11:B11"/>
    <mergeCell ref="A12:B12"/>
    <mergeCell ref="A5:B5"/>
    <mergeCell ref="A6:B6"/>
    <mergeCell ref="A7:B7"/>
    <mergeCell ref="A8:B8"/>
    <mergeCell ref="A9:B9"/>
  </mergeCells>
  <hyperlinks>
    <hyperlink ref="B16" location="Solvensbehov!A1" display="Solvensbehov" xr:uid="{B637B709-D83D-4ABC-9F2C-53DE7FA57BEE}"/>
    <hyperlink ref="B17" location="'EU CC1 DK'!A1" display="'EU CC1" xr:uid="{52D40022-EF11-4D01-BBB8-4AD1B8BEFF2F}"/>
    <hyperlink ref="B18" location="'EU CC2 DK'!A1" display="'EU CC2" xr:uid="{A5D69E2E-A863-4F25-AE50-4907C932BB05}"/>
    <hyperlink ref="B19" location="'EU CCyB1 DK'!A1" display="'EU CCyB1" xr:uid="{30C45A51-9FC3-49E4-B455-D181A5113499}"/>
    <hyperlink ref="B20" location="'EU CCyB2 DK'!A1" display="'EU CCyB2" xr:uid="{BCA55336-F157-4948-98F0-C965A24B0F9E}"/>
    <hyperlink ref="B22" location="'EU CR1 DK'!A1" display="'EU CR1" xr:uid="{6DF254AB-7388-4310-9FBC-273D07EC7D1C}"/>
    <hyperlink ref="B23" location="'EU CR1-A DK'!A1" display="'EU CR1-A" xr:uid="{720A61A0-24AE-4D1B-9B3C-74107E4C2EC1}"/>
    <hyperlink ref="B24" location="'EU CR2 DK'!A1" display="'EU CR2" xr:uid="{909B5D13-678D-4AA3-8CB8-E3AB6B39ECF1}"/>
    <hyperlink ref="B25" location="'EU CR3 DK'!A1" display="'EU CR3" xr:uid="{B814FB7C-DF87-4847-83F1-DA692CB8E01B}"/>
    <hyperlink ref="B26" location="'EU CR4 DK'!A1" display="'EU CR4" xr:uid="{7BD94FCF-00E5-4F2A-B64F-EC325E8DBFAB}"/>
    <hyperlink ref="B27" location="'EU CR5 DK'!A1" display="'EU CR5" xr:uid="{D0A2935E-4976-4B05-ACBD-85F960D37D36}"/>
    <hyperlink ref="B29" location="'EU CCR1 DK'!A1" display="'EU CCR1" xr:uid="{C85D0792-CB56-4ED2-8E55-1DF90DF8F425}"/>
    <hyperlink ref="B30" location="'EU CCR2 DK'!A1" display="'EU CCR2" xr:uid="{FA7DC565-8FBB-4C2C-9365-0B27EB24836C}"/>
    <hyperlink ref="B31" location="'EU CCR3 DK'!A1" display="'EU CCR3" xr:uid="{A6A0CDC0-A4B2-46EC-8546-7DD5010DAB82}"/>
    <hyperlink ref="B32" location="'EU CCR5 DK'!A1" display="'EU CCR5" xr:uid="{B6AC4A0E-5571-465E-9C79-779A0FB544A9}"/>
    <hyperlink ref="B33" location="'EU CCR8 DK'!A1" display="'EU CCR8" xr:uid="{66E2B87D-4439-4B5D-B92B-9C63664D88FC}"/>
    <hyperlink ref="B35" location="'EU MR1 DK'!A1" display="'EU MR1" xr:uid="{FB020DE0-CE1D-4B77-A628-7B7472C0C7CC}"/>
    <hyperlink ref="B36" location="'EU IRRBB1 DK'!A1" display="'EU IRRBB1" xr:uid="{BFB4EA57-74B2-4968-B594-7E72DA712D9E}"/>
    <hyperlink ref="B38" location="'EU LIQ2 DK'!A1" display="'EU LIQ2" xr:uid="{AC8F1A62-54C1-4181-B87B-4886E748698F}"/>
    <hyperlink ref="B40" location="'EU LR1 - LRSum DK'!A1" display="'EU LR1 - LRSum" xr:uid="{DAB49912-18A6-4023-ABC4-DB5E569DCA23}"/>
    <hyperlink ref="B41" location="'EU LR2 - LRCom DK'!A1" display="'EU LR2 - LRCom" xr:uid="{5AC90D20-385E-4F7F-9BC5-35F90A534A4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0D48-E154-4971-9A2B-6AC7E866D11D}">
  <dimension ref="A2:J15"/>
  <sheetViews>
    <sheetView workbookViewId="0">
      <selection activeCell="D19" sqref="D19"/>
    </sheetView>
  </sheetViews>
  <sheetFormatPr defaultRowHeight="14.5" x14ac:dyDescent="0.35"/>
  <cols>
    <col min="1" max="1" width="5.54296875" customWidth="1"/>
    <col min="2" max="2" width="33.453125" customWidth="1"/>
    <col min="3" max="3" width="20.7265625" customWidth="1"/>
    <col min="4" max="4" width="24.453125" customWidth="1"/>
    <col min="5" max="5" width="19" customWidth="1"/>
    <col min="6" max="6" width="19.1796875" customWidth="1"/>
    <col min="7" max="7" width="16.81640625" customWidth="1"/>
  </cols>
  <sheetData>
    <row r="2" spans="1:10" ht="21" x14ac:dyDescent="0.5">
      <c r="A2" s="183" t="s">
        <v>376</v>
      </c>
      <c r="C2" s="153"/>
      <c r="D2" s="153"/>
      <c r="E2" s="153"/>
      <c r="F2" s="153"/>
    </row>
    <row r="6" spans="1:10" ht="58" x14ac:dyDescent="0.35">
      <c r="A6" s="154"/>
      <c r="B6" s="155"/>
      <c r="C6" s="156" t="s">
        <v>377</v>
      </c>
      <c r="D6" s="157" t="s">
        <v>378</v>
      </c>
      <c r="E6" s="158"/>
      <c r="F6" s="158"/>
      <c r="G6" s="159"/>
      <c r="H6" s="160"/>
      <c r="I6" s="160"/>
      <c r="J6" s="160"/>
    </row>
    <row r="7" spans="1:10" ht="29" x14ac:dyDescent="0.35">
      <c r="A7" s="161"/>
      <c r="B7" s="162" t="s">
        <v>62</v>
      </c>
      <c r="C7" s="163"/>
      <c r="D7" s="164"/>
      <c r="E7" s="156" t="s">
        <v>379</v>
      </c>
      <c r="F7" s="165" t="s">
        <v>380</v>
      </c>
      <c r="G7" s="165" t="s">
        <v>381</v>
      </c>
      <c r="H7" s="160"/>
      <c r="I7" s="160"/>
      <c r="J7" s="160"/>
    </row>
    <row r="8" spans="1:10" x14ac:dyDescent="0.35">
      <c r="A8" s="161"/>
      <c r="B8" s="162"/>
      <c r="C8" s="166"/>
      <c r="D8" s="167"/>
      <c r="E8" s="166"/>
      <c r="F8" s="166"/>
      <c r="G8" s="168"/>
      <c r="H8" s="160"/>
      <c r="I8" s="160"/>
      <c r="J8" s="160"/>
    </row>
    <row r="9" spans="1:10" x14ac:dyDescent="0.35">
      <c r="A9" s="169"/>
      <c r="B9" s="170"/>
      <c r="C9" s="171" t="s">
        <v>226</v>
      </c>
      <c r="D9" s="172" t="s">
        <v>227</v>
      </c>
      <c r="E9" s="171" t="s">
        <v>228</v>
      </c>
      <c r="F9" s="172" t="s">
        <v>275</v>
      </c>
      <c r="G9" s="171" t="s">
        <v>276</v>
      </c>
      <c r="H9" s="160"/>
      <c r="I9" s="160"/>
      <c r="J9" s="160"/>
    </row>
    <row r="10" spans="1:10" x14ac:dyDescent="0.35">
      <c r="A10" s="171">
        <v>1</v>
      </c>
      <c r="B10" s="173" t="s">
        <v>329</v>
      </c>
      <c r="C10" s="174">
        <v>10451.303603964501</v>
      </c>
      <c r="D10" s="174">
        <v>35677.232796914002</v>
      </c>
      <c r="E10" s="174">
        <v>35677.232796914002</v>
      </c>
      <c r="F10" s="174">
        <v>0</v>
      </c>
      <c r="G10" s="175">
        <v>0</v>
      </c>
      <c r="H10" s="160"/>
      <c r="I10" s="160"/>
      <c r="J10" s="160"/>
    </row>
    <row r="11" spans="1:10" x14ac:dyDescent="0.35">
      <c r="A11" s="171">
        <v>2</v>
      </c>
      <c r="B11" s="173" t="s">
        <v>344</v>
      </c>
      <c r="C11" s="174">
        <v>0</v>
      </c>
      <c r="D11" s="174">
        <v>0</v>
      </c>
      <c r="E11" s="174">
        <v>0</v>
      </c>
      <c r="F11" s="174">
        <v>0</v>
      </c>
      <c r="G11" s="175">
        <v>0</v>
      </c>
      <c r="H11" s="160"/>
      <c r="I11" s="160"/>
      <c r="J11" s="160"/>
    </row>
    <row r="12" spans="1:10" x14ac:dyDescent="0.35">
      <c r="A12" s="171">
        <v>3</v>
      </c>
      <c r="B12" s="173" t="s">
        <v>300</v>
      </c>
      <c r="C12" s="174">
        <v>10451.303603964501</v>
      </c>
      <c r="D12" s="174">
        <v>35677.232796914002</v>
      </c>
      <c r="E12" s="174">
        <v>35677.232796914002</v>
      </c>
      <c r="F12" s="176">
        <v>0</v>
      </c>
      <c r="G12" s="175">
        <v>0</v>
      </c>
      <c r="H12" s="160"/>
      <c r="I12" s="160"/>
      <c r="J12" s="160"/>
    </row>
    <row r="13" spans="1:10" x14ac:dyDescent="0.35">
      <c r="A13" s="171">
        <v>4</v>
      </c>
      <c r="B13" s="177" t="s">
        <v>382</v>
      </c>
      <c r="C13" s="178">
        <v>934.97088867360935</v>
      </c>
      <c r="D13" s="174">
        <v>2198.0373758833907</v>
      </c>
      <c r="E13" s="174">
        <v>2198.0373758833907</v>
      </c>
      <c r="F13" s="179">
        <v>0</v>
      </c>
      <c r="G13" s="179">
        <v>0</v>
      </c>
      <c r="H13" s="160"/>
      <c r="I13" s="160"/>
      <c r="J13" s="160"/>
    </row>
    <row r="14" spans="1:10" x14ac:dyDescent="0.35">
      <c r="A14" s="180" t="s">
        <v>383</v>
      </c>
      <c r="B14" s="177" t="s">
        <v>384</v>
      </c>
      <c r="C14" s="178">
        <v>934.97088867360935</v>
      </c>
      <c r="D14" s="174">
        <v>2198.0373758833907</v>
      </c>
      <c r="E14" s="181"/>
      <c r="F14" s="182"/>
      <c r="G14" s="182"/>
      <c r="H14" s="160"/>
      <c r="I14" s="160"/>
      <c r="J14" s="160"/>
    </row>
    <row r="15" spans="1:10" x14ac:dyDescent="0.35">
      <c r="A15" s="160"/>
      <c r="B15" s="160"/>
      <c r="C15" s="160"/>
      <c r="D15" s="160"/>
      <c r="E15" s="160"/>
      <c r="F15" s="160"/>
      <c r="G15" s="160"/>
      <c r="H15" s="160"/>
      <c r="I15" s="160"/>
      <c r="J15" s="16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C76E2-580B-4DDC-8394-587CCC57443A}">
  <dimension ref="A3:G29"/>
  <sheetViews>
    <sheetView workbookViewId="0">
      <selection activeCell="B1" sqref="B1"/>
    </sheetView>
  </sheetViews>
  <sheetFormatPr defaultColWidth="9.1796875" defaultRowHeight="14.5" x14ac:dyDescent="0.35"/>
  <cols>
    <col min="1" max="1" width="39.26953125" style="65" customWidth="1"/>
    <col min="2" max="2" width="15.453125" style="65" customWidth="1"/>
    <col min="3" max="5" width="16" style="65" customWidth="1"/>
    <col min="6" max="6" width="12.54296875" style="65" customWidth="1"/>
    <col min="7" max="7" width="15.7265625" style="65" customWidth="1"/>
    <col min="8" max="16384" width="9.1796875" style="65"/>
  </cols>
  <sheetData>
    <row r="3" spans="1:7" ht="18.5" x14ac:dyDescent="0.45">
      <c r="A3" s="3" t="s">
        <v>385</v>
      </c>
    </row>
    <row r="6" spans="1:7" ht="65.25" customHeight="1" x14ac:dyDescent="0.35">
      <c r="A6" s="538" t="s">
        <v>386</v>
      </c>
      <c r="B6" s="539" t="s">
        <v>387</v>
      </c>
      <c r="C6" s="538"/>
      <c r="D6" s="540" t="s">
        <v>388</v>
      </c>
      <c r="E6" s="539"/>
      <c r="F6" s="541" t="s">
        <v>389</v>
      </c>
      <c r="G6" s="542"/>
    </row>
    <row r="7" spans="1:7" ht="43.5" x14ac:dyDescent="0.35">
      <c r="A7" s="538"/>
      <c r="B7" s="185" t="s">
        <v>390</v>
      </c>
      <c r="C7" s="184" t="s">
        <v>351</v>
      </c>
      <c r="D7" s="185" t="s">
        <v>390</v>
      </c>
      <c r="E7" s="184" t="s">
        <v>351</v>
      </c>
      <c r="F7" s="186" t="s">
        <v>391</v>
      </c>
      <c r="G7" s="186" t="s">
        <v>392</v>
      </c>
    </row>
    <row r="8" spans="1:7" x14ac:dyDescent="0.35">
      <c r="A8" s="538"/>
      <c r="B8" s="187" t="s">
        <v>226</v>
      </c>
      <c r="C8" s="123" t="s">
        <v>227</v>
      </c>
      <c r="D8" s="123" t="s">
        <v>228</v>
      </c>
      <c r="E8" s="123" t="s">
        <v>275</v>
      </c>
      <c r="F8" s="123" t="s">
        <v>276</v>
      </c>
      <c r="G8" s="123" t="s">
        <v>277</v>
      </c>
    </row>
    <row r="9" spans="1:7" x14ac:dyDescent="0.35">
      <c r="A9" s="188" t="s">
        <v>393</v>
      </c>
      <c r="B9" s="189">
        <f>9112184107/1000000</f>
        <v>9112.1841069999991</v>
      </c>
      <c r="C9" s="189">
        <f>200.612/1000000</f>
        <v>2.00612E-4</v>
      </c>
      <c r="D9" s="189">
        <f>9221792000/1000000</f>
        <v>9221.7919999999995</v>
      </c>
      <c r="E9" s="189">
        <v>0</v>
      </c>
      <c r="F9" s="189">
        <f>1581759/1000000</f>
        <v>1.5817589999999999</v>
      </c>
      <c r="G9" s="190">
        <v>0</v>
      </c>
    </row>
    <row r="10" spans="1:7" x14ac:dyDescent="0.35">
      <c r="A10" s="191" t="s">
        <v>394</v>
      </c>
      <c r="B10" s="192">
        <f>8699302/1000000</f>
        <v>8.6993019999999994</v>
      </c>
      <c r="C10" s="192">
        <f>11716734/1000000</f>
        <v>11.716734000000001</v>
      </c>
      <c r="D10" s="192">
        <f>8818975/1000000</f>
        <v>8.818975</v>
      </c>
      <c r="E10" s="192">
        <f>1424798/1000000</f>
        <v>1.424798</v>
      </c>
      <c r="F10" s="192">
        <v>0</v>
      </c>
      <c r="G10" s="193">
        <v>0</v>
      </c>
    </row>
    <row r="11" spans="1:7" x14ac:dyDescent="0.35">
      <c r="A11" s="191" t="s">
        <v>395</v>
      </c>
      <c r="B11" s="192">
        <f>4.382/1000000</f>
        <v>4.3819999999999997E-6</v>
      </c>
      <c r="C11" s="192">
        <v>0</v>
      </c>
      <c r="D11" s="192">
        <f>4.382/1000000</f>
        <v>4.3819999999999997E-6</v>
      </c>
      <c r="E11" s="192">
        <v>0</v>
      </c>
      <c r="F11" s="192">
        <f>876/1000000</f>
        <v>8.7600000000000004E-4</v>
      </c>
      <c r="G11" s="193">
        <v>0.2</v>
      </c>
    </row>
    <row r="12" spans="1:7" x14ac:dyDescent="0.35">
      <c r="A12" s="191" t="s">
        <v>396</v>
      </c>
      <c r="B12" s="192">
        <v>0</v>
      </c>
      <c r="C12" s="192">
        <v>0</v>
      </c>
      <c r="D12" s="192">
        <v>0</v>
      </c>
      <c r="E12" s="192">
        <v>0</v>
      </c>
      <c r="F12" s="192">
        <v>0</v>
      </c>
      <c r="G12" s="193">
        <v>0</v>
      </c>
    </row>
    <row r="13" spans="1:7" x14ac:dyDescent="0.35">
      <c r="A13" s="191" t="s">
        <v>397</v>
      </c>
      <c r="B13" s="192">
        <v>0</v>
      </c>
      <c r="C13" s="192">
        <v>0</v>
      </c>
      <c r="D13" s="192">
        <v>0</v>
      </c>
      <c r="E13" s="192">
        <v>0</v>
      </c>
      <c r="F13" s="192">
        <v>0</v>
      </c>
      <c r="G13" s="193">
        <v>0</v>
      </c>
    </row>
    <row r="14" spans="1:7" x14ac:dyDescent="0.35">
      <c r="A14" s="191" t="s">
        <v>398</v>
      </c>
      <c r="B14" s="192">
        <f>611872023/1000000</f>
        <v>611.87202300000001</v>
      </c>
      <c r="C14" s="192">
        <f>636601946/1000000</f>
        <v>636.601946</v>
      </c>
      <c r="D14" s="192">
        <f>639912989/1000000</f>
        <v>639.91298900000004</v>
      </c>
      <c r="E14" s="192">
        <f>216388983/1000000</f>
        <v>216.388983</v>
      </c>
      <c r="F14" s="192">
        <f>266087918/1000000</f>
        <v>266.087918</v>
      </c>
      <c r="G14" s="193">
        <v>0.311</v>
      </c>
    </row>
    <row r="15" spans="1:7" x14ac:dyDescent="0.35">
      <c r="A15" s="191" t="s">
        <v>399</v>
      </c>
      <c r="B15" s="192">
        <f>12807991736/1000000</f>
        <v>12807.991736</v>
      </c>
      <c r="C15" s="192">
        <f>8081025993/1000000</f>
        <v>8081.0259930000002</v>
      </c>
      <c r="D15" s="192">
        <f>12442088962/1000000</f>
        <v>12442.088962</v>
      </c>
      <c r="E15" s="192">
        <f>1004720299/1000000</f>
        <v>1004.720299</v>
      </c>
      <c r="F15" s="192">
        <f>12102717228/1000000</f>
        <v>12102.717228</v>
      </c>
      <c r="G15" s="193">
        <v>0.9</v>
      </c>
    </row>
    <row r="16" spans="1:7" x14ac:dyDescent="0.35">
      <c r="A16" s="191" t="s">
        <v>400</v>
      </c>
      <c r="B16" s="192">
        <f>25581246990/1000000</f>
        <v>25581.24699</v>
      </c>
      <c r="C16" s="192">
        <f>23530142585/1000000</f>
        <v>23530.142585000001</v>
      </c>
      <c r="D16" s="192">
        <f>25555478376/1000000</f>
        <v>25555.478375999999</v>
      </c>
      <c r="E16" s="192">
        <f>6661443213/1000000</f>
        <v>6661.4432129999996</v>
      </c>
      <c r="F16" s="192">
        <f>23143951258/1000000</f>
        <v>23143.951258000001</v>
      </c>
      <c r="G16" s="193">
        <v>0.71799999999999997</v>
      </c>
    </row>
    <row r="17" spans="1:7" x14ac:dyDescent="0.35">
      <c r="A17" s="191" t="s">
        <v>401</v>
      </c>
      <c r="B17" s="192">
        <f>4636322506/1000000</f>
        <v>4636.3225060000004</v>
      </c>
      <c r="C17" s="192">
        <f>7818624814/1000000</f>
        <v>7818.6248139999998</v>
      </c>
      <c r="D17" s="192">
        <f>4633749897/1000000</f>
        <v>4633.7498969999997</v>
      </c>
      <c r="E17" s="192">
        <f>7762896802/1000000</f>
        <v>7762.8968020000002</v>
      </c>
      <c r="F17" s="192">
        <f>4359860497/1000000</f>
        <v>4359.8604969999997</v>
      </c>
      <c r="G17" s="193">
        <v>0.35199999999999998</v>
      </c>
    </row>
    <row r="18" spans="1:7" x14ac:dyDescent="0.35">
      <c r="A18" s="191" t="s">
        <v>319</v>
      </c>
      <c r="B18" s="192">
        <f>1774857807/1000000</f>
        <v>1774.8578070000001</v>
      </c>
      <c r="C18" s="192">
        <f>813972602/1000000</f>
        <v>813.97260200000005</v>
      </c>
      <c r="D18" s="192">
        <f>1721340555/1000000</f>
        <v>1721.340555</v>
      </c>
      <c r="E18" s="192">
        <f>427024203/1000000</f>
        <v>427.024203</v>
      </c>
      <c r="F18" s="192">
        <f>2695340521/1000000</f>
        <v>2695.3405210000001</v>
      </c>
      <c r="G18" s="193">
        <v>1.2549999999999999</v>
      </c>
    </row>
    <row r="19" spans="1:7" ht="29" x14ac:dyDescent="0.35">
      <c r="A19" s="191" t="s">
        <v>402</v>
      </c>
      <c r="B19" s="192">
        <f>645191429/1000000</f>
        <v>645.19142899999997</v>
      </c>
      <c r="C19" s="192">
        <f>284078254/1000000</f>
        <v>284.07825400000002</v>
      </c>
      <c r="D19" s="192">
        <f>637189590/1000000</f>
        <v>637.18958999999995</v>
      </c>
      <c r="E19" s="192">
        <f>158976776/1000000</f>
        <v>158.976776</v>
      </c>
      <c r="F19" s="192">
        <f>1194249548/1000000</f>
        <v>1194.249548</v>
      </c>
      <c r="G19" s="193">
        <v>1.5</v>
      </c>
    </row>
    <row r="20" spans="1:7" ht="29" x14ac:dyDescent="0.35">
      <c r="A20" s="191" t="s">
        <v>403</v>
      </c>
      <c r="B20" s="192">
        <v>0</v>
      </c>
      <c r="C20" s="192">
        <v>0</v>
      </c>
      <c r="D20" s="192">
        <v>0</v>
      </c>
      <c r="E20" s="192">
        <v>0</v>
      </c>
      <c r="F20" s="192">
        <v>0</v>
      </c>
      <c r="G20" s="193">
        <v>0</v>
      </c>
    </row>
    <row r="21" spans="1:7" ht="29" x14ac:dyDescent="0.35">
      <c r="A21" s="191" t="s">
        <v>404</v>
      </c>
      <c r="B21" s="192">
        <v>0</v>
      </c>
      <c r="C21" s="192">
        <v>0</v>
      </c>
      <c r="D21" s="192">
        <v>0</v>
      </c>
      <c r="E21" s="192">
        <v>0</v>
      </c>
      <c r="F21" s="192">
        <v>0</v>
      </c>
      <c r="G21" s="193">
        <v>0</v>
      </c>
    </row>
    <row r="22" spans="1:7" x14ac:dyDescent="0.35">
      <c r="A22" s="191" t="s">
        <v>405</v>
      </c>
      <c r="B22" s="192">
        <f>9.543/1000000</f>
        <v>9.5429999999999999E-6</v>
      </c>
      <c r="C22" s="192">
        <v>0</v>
      </c>
      <c r="D22" s="192">
        <f>9.543/10000000</f>
        <v>9.5429999999999991E-7</v>
      </c>
      <c r="E22" s="192">
        <v>0</v>
      </c>
      <c r="F22" s="192">
        <f>119.291/1000000</f>
        <v>1.1929099999999999E-4</v>
      </c>
      <c r="G22" s="193">
        <v>12.5</v>
      </c>
    </row>
    <row r="23" spans="1:7" x14ac:dyDescent="0.35">
      <c r="A23" s="191" t="s">
        <v>238</v>
      </c>
      <c r="B23" s="192">
        <f>1708742212/1000000</f>
        <v>1708.7422120000001</v>
      </c>
      <c r="C23" s="192">
        <v>0</v>
      </c>
      <c r="D23" s="192">
        <f>1708742212/1000000</f>
        <v>1708.7422120000001</v>
      </c>
      <c r="E23" s="192">
        <v>0</v>
      </c>
      <c r="F23" s="192">
        <f>2318587921/1000000</f>
        <v>2318.5879209999998</v>
      </c>
      <c r="G23" s="193">
        <v>1.357</v>
      </c>
    </row>
    <row r="24" spans="1:7" x14ac:dyDescent="0.35">
      <c r="A24" s="191" t="s">
        <v>406</v>
      </c>
      <c r="B24" s="192">
        <f>2914338023/1000000</f>
        <v>2914.3380229999998</v>
      </c>
      <c r="C24" s="192">
        <f>44849872/1000000</f>
        <v>44.849871999999998</v>
      </c>
      <c r="D24" s="192">
        <f>3010617323/1000000</f>
        <v>3010.6173229999999</v>
      </c>
      <c r="E24" s="192">
        <f>44778377/1000000</f>
        <v>44.778376999999999</v>
      </c>
      <c r="F24" s="192">
        <f>2776308071/1000000</f>
        <v>2776.3080709999999</v>
      </c>
      <c r="G24" s="193">
        <v>0.90900000000000003</v>
      </c>
    </row>
    <row r="25" spans="1:7" x14ac:dyDescent="0.35">
      <c r="A25" s="194" t="s">
        <v>407</v>
      </c>
      <c r="B25" s="195">
        <f>59801460061/1000000</f>
        <v>59801.460060999998</v>
      </c>
      <c r="C25" s="195">
        <f>41221213412/1000000</f>
        <v>41221.213411999997</v>
      </c>
      <c r="D25" s="195">
        <f>59579744804/1000000</f>
        <v>59579.744804000002</v>
      </c>
      <c r="E25" s="195">
        <f>16277653451/1000000</f>
        <v>16277.653451</v>
      </c>
      <c r="F25" s="195">
        <f>48858804888/1000000</f>
        <v>48858.804887999999</v>
      </c>
      <c r="G25" s="196">
        <v>0.64400000000000002</v>
      </c>
    </row>
    <row r="29" spans="1:7" x14ac:dyDescent="0.35">
      <c r="B29" s="197"/>
      <c r="C29" s="197"/>
      <c r="D29" s="197"/>
      <c r="E29" s="197"/>
      <c r="F29" s="197"/>
      <c r="G29" s="197"/>
    </row>
  </sheetData>
  <mergeCells count="4">
    <mergeCell ref="A6:A8"/>
    <mergeCell ref="B6:C6"/>
    <mergeCell ref="D6:E6"/>
    <mergeCell ref="F6:G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7FA2-5C69-4C12-A3AE-FE98B5688AF2}">
  <dimension ref="A2:S24"/>
  <sheetViews>
    <sheetView workbookViewId="0">
      <selection activeCell="B3" sqref="B3"/>
    </sheetView>
  </sheetViews>
  <sheetFormatPr defaultRowHeight="14.5" x14ac:dyDescent="0.35"/>
  <cols>
    <col min="1" max="1" width="3.54296875" customWidth="1"/>
    <col min="2" max="2" width="47.81640625" customWidth="1"/>
    <col min="3" max="18" width="7.26953125" customWidth="1"/>
    <col min="19" max="19" width="9.7265625" customWidth="1"/>
  </cols>
  <sheetData>
    <row r="2" spans="1:19" ht="18.5" x14ac:dyDescent="0.45">
      <c r="A2" s="3" t="s">
        <v>408</v>
      </c>
    </row>
    <row r="5" spans="1:19" x14ac:dyDescent="0.35">
      <c r="A5" s="198"/>
      <c r="B5" s="543" t="s">
        <v>409</v>
      </c>
      <c r="C5" s="544" t="s">
        <v>410</v>
      </c>
      <c r="D5" s="545"/>
      <c r="E5" s="545"/>
      <c r="F5" s="545"/>
      <c r="G5" s="545"/>
      <c r="H5" s="545"/>
      <c r="I5" s="545"/>
      <c r="J5" s="545"/>
      <c r="K5" s="545"/>
      <c r="L5" s="545"/>
      <c r="M5" s="545"/>
      <c r="N5" s="545"/>
      <c r="O5" s="545"/>
      <c r="P5" s="545"/>
      <c r="Q5" s="546"/>
      <c r="R5" s="547" t="s">
        <v>300</v>
      </c>
      <c r="S5" s="548" t="s">
        <v>411</v>
      </c>
    </row>
    <row r="6" spans="1:19" x14ac:dyDescent="0.35">
      <c r="A6" s="202"/>
      <c r="B6" s="543"/>
      <c r="C6" s="203">
        <v>0</v>
      </c>
      <c r="D6" s="204">
        <v>0.02</v>
      </c>
      <c r="E6" s="203">
        <v>0.04</v>
      </c>
      <c r="F6" s="204">
        <v>0.1</v>
      </c>
      <c r="G6" s="204">
        <v>0.2</v>
      </c>
      <c r="H6" s="204">
        <v>0.35</v>
      </c>
      <c r="I6" s="204">
        <v>0.5</v>
      </c>
      <c r="J6" s="204">
        <v>0.7</v>
      </c>
      <c r="K6" s="204">
        <v>0.75</v>
      </c>
      <c r="L6" s="201">
        <v>1</v>
      </c>
      <c r="M6" s="201">
        <v>1.5</v>
      </c>
      <c r="N6" s="201">
        <v>2.5</v>
      </c>
      <c r="O6" s="201">
        <v>3.7</v>
      </c>
      <c r="P6" s="201">
        <v>12.5</v>
      </c>
      <c r="Q6" s="201" t="s">
        <v>412</v>
      </c>
      <c r="R6" s="547"/>
      <c r="S6" s="548"/>
    </row>
    <row r="7" spans="1:19" x14ac:dyDescent="0.35">
      <c r="A7" s="205"/>
      <c r="B7" s="543"/>
      <c r="C7" s="206" t="s">
        <v>226</v>
      </c>
      <c r="D7" s="206" t="s">
        <v>227</v>
      </c>
      <c r="E7" s="206" t="s">
        <v>228</v>
      </c>
      <c r="F7" s="206" t="s">
        <v>275</v>
      </c>
      <c r="G7" s="206" t="s">
        <v>276</v>
      </c>
      <c r="H7" s="206" t="s">
        <v>277</v>
      </c>
      <c r="I7" s="206" t="s">
        <v>278</v>
      </c>
      <c r="J7" s="206" t="s">
        <v>279</v>
      </c>
      <c r="K7" s="206" t="s">
        <v>280</v>
      </c>
      <c r="L7" s="206" t="s">
        <v>281</v>
      </c>
      <c r="M7" s="206" t="s">
        <v>282</v>
      </c>
      <c r="N7" s="206" t="s">
        <v>283</v>
      </c>
      <c r="O7" s="206" t="s">
        <v>284</v>
      </c>
      <c r="P7" s="206" t="s">
        <v>312</v>
      </c>
      <c r="Q7" s="206" t="s">
        <v>313</v>
      </c>
      <c r="R7" s="207" t="s">
        <v>413</v>
      </c>
      <c r="S7" s="207" t="s">
        <v>414</v>
      </c>
    </row>
    <row r="8" spans="1:19" x14ac:dyDescent="0.35">
      <c r="A8" s="208">
        <v>1</v>
      </c>
      <c r="B8" s="209" t="s">
        <v>393</v>
      </c>
      <c r="C8" s="210">
        <v>9220.2000000000007</v>
      </c>
      <c r="D8" s="211">
        <v>0</v>
      </c>
      <c r="E8" s="211">
        <v>0</v>
      </c>
      <c r="F8" s="211">
        <v>0</v>
      </c>
      <c r="G8" s="212">
        <v>0</v>
      </c>
      <c r="H8" s="212">
        <v>0</v>
      </c>
      <c r="I8" s="212">
        <v>0</v>
      </c>
      <c r="J8" s="211">
        <v>0</v>
      </c>
      <c r="K8" s="212">
        <v>0</v>
      </c>
      <c r="L8" s="212">
        <v>1.6</v>
      </c>
      <c r="M8" s="212">
        <v>0</v>
      </c>
      <c r="N8" s="212">
        <v>0</v>
      </c>
      <c r="O8" s="211">
        <v>0</v>
      </c>
      <c r="P8" s="211">
        <v>0</v>
      </c>
      <c r="Q8" s="211">
        <v>0</v>
      </c>
      <c r="R8" s="213">
        <f t="shared" ref="R8:R24" si="0">SUM(C8:Q8)</f>
        <v>9221.8000000000011</v>
      </c>
      <c r="S8" s="214">
        <v>0</v>
      </c>
    </row>
    <row r="9" spans="1:19" x14ac:dyDescent="0.35">
      <c r="A9" s="208">
        <v>2</v>
      </c>
      <c r="B9" s="215" t="s">
        <v>394</v>
      </c>
      <c r="C9" s="210">
        <v>10.199999999999999</v>
      </c>
      <c r="D9" s="211">
        <v>0</v>
      </c>
      <c r="E9" s="211">
        <v>0</v>
      </c>
      <c r="F9" s="211">
        <v>0</v>
      </c>
      <c r="G9" s="212">
        <v>0</v>
      </c>
      <c r="H9" s="212">
        <v>0</v>
      </c>
      <c r="I9" s="212">
        <v>0</v>
      </c>
      <c r="J9" s="211">
        <v>0</v>
      </c>
      <c r="K9" s="212">
        <v>0</v>
      </c>
      <c r="L9" s="212">
        <v>0</v>
      </c>
      <c r="M9" s="212">
        <v>0</v>
      </c>
      <c r="N9" s="212">
        <v>0</v>
      </c>
      <c r="O9" s="211">
        <v>0</v>
      </c>
      <c r="P9" s="211">
        <v>0</v>
      </c>
      <c r="Q9" s="211">
        <v>0</v>
      </c>
      <c r="R9" s="213">
        <f t="shared" si="0"/>
        <v>10.199999999999999</v>
      </c>
      <c r="S9" s="214">
        <v>0</v>
      </c>
    </row>
    <row r="10" spans="1:19" x14ac:dyDescent="0.35">
      <c r="A10" s="208">
        <v>3</v>
      </c>
      <c r="B10" s="215" t="s">
        <v>395</v>
      </c>
      <c r="C10" s="210">
        <v>0</v>
      </c>
      <c r="D10" s="211">
        <v>0</v>
      </c>
      <c r="E10" s="211">
        <v>0</v>
      </c>
      <c r="F10" s="211">
        <v>0</v>
      </c>
      <c r="G10" s="212">
        <v>0</v>
      </c>
      <c r="H10" s="212">
        <v>0</v>
      </c>
      <c r="I10" s="212">
        <v>0</v>
      </c>
      <c r="J10" s="211">
        <v>0</v>
      </c>
      <c r="K10" s="212">
        <v>0</v>
      </c>
      <c r="L10" s="212">
        <v>0</v>
      </c>
      <c r="M10" s="212">
        <v>0</v>
      </c>
      <c r="N10" s="212">
        <v>0</v>
      </c>
      <c r="O10" s="211">
        <v>0</v>
      </c>
      <c r="P10" s="211">
        <v>0</v>
      </c>
      <c r="Q10" s="211">
        <v>0</v>
      </c>
      <c r="R10" s="213">
        <f t="shared" si="0"/>
        <v>0</v>
      </c>
      <c r="S10" s="214">
        <v>0</v>
      </c>
    </row>
    <row r="11" spans="1:19" x14ac:dyDescent="0.35">
      <c r="A11" s="208">
        <v>4</v>
      </c>
      <c r="B11" s="215" t="s">
        <v>396</v>
      </c>
      <c r="C11" s="210">
        <v>0</v>
      </c>
      <c r="D11" s="211">
        <v>0</v>
      </c>
      <c r="E11" s="211">
        <v>0</v>
      </c>
      <c r="F11" s="211">
        <v>0</v>
      </c>
      <c r="G11" s="212">
        <v>0</v>
      </c>
      <c r="H11" s="212">
        <v>0</v>
      </c>
      <c r="I11" s="212">
        <v>0</v>
      </c>
      <c r="J11" s="211">
        <v>0</v>
      </c>
      <c r="K11" s="212">
        <v>0</v>
      </c>
      <c r="L11" s="212">
        <v>0</v>
      </c>
      <c r="M11" s="212">
        <v>0</v>
      </c>
      <c r="N11" s="212">
        <v>0</v>
      </c>
      <c r="O11" s="211">
        <v>0</v>
      </c>
      <c r="P11" s="211">
        <v>0</v>
      </c>
      <c r="Q11" s="211">
        <v>0</v>
      </c>
      <c r="R11" s="213">
        <f t="shared" si="0"/>
        <v>0</v>
      </c>
      <c r="S11" s="214">
        <v>0</v>
      </c>
    </row>
    <row r="12" spans="1:19" x14ac:dyDescent="0.35">
      <c r="A12" s="208">
        <v>5</v>
      </c>
      <c r="B12" s="215" t="s">
        <v>397</v>
      </c>
      <c r="C12" s="210">
        <v>0</v>
      </c>
      <c r="D12" s="211">
        <v>0</v>
      </c>
      <c r="E12" s="211">
        <v>0</v>
      </c>
      <c r="F12" s="211">
        <v>0</v>
      </c>
      <c r="G12" s="212">
        <v>0</v>
      </c>
      <c r="H12" s="212">
        <v>0</v>
      </c>
      <c r="I12" s="212">
        <v>0</v>
      </c>
      <c r="J12" s="211">
        <v>0</v>
      </c>
      <c r="K12" s="212">
        <v>0</v>
      </c>
      <c r="L12" s="212">
        <v>0</v>
      </c>
      <c r="M12" s="212">
        <v>0</v>
      </c>
      <c r="N12" s="212">
        <v>0</v>
      </c>
      <c r="O12" s="211">
        <v>0</v>
      </c>
      <c r="P12" s="211">
        <v>0</v>
      </c>
      <c r="Q12" s="211">
        <v>0</v>
      </c>
      <c r="R12" s="213">
        <f t="shared" si="0"/>
        <v>0</v>
      </c>
      <c r="S12" s="214">
        <v>0</v>
      </c>
    </row>
    <row r="13" spans="1:19" x14ac:dyDescent="0.35">
      <c r="A13" s="208">
        <v>6</v>
      </c>
      <c r="B13" s="215" t="s">
        <v>398</v>
      </c>
      <c r="C13" s="210">
        <v>36.9</v>
      </c>
      <c r="D13" s="211">
        <v>0</v>
      </c>
      <c r="E13" s="211">
        <v>0</v>
      </c>
      <c r="F13" s="211">
        <v>0</v>
      </c>
      <c r="G13" s="212">
        <v>488.9</v>
      </c>
      <c r="H13" s="212">
        <v>0</v>
      </c>
      <c r="I13" s="212">
        <v>326.3</v>
      </c>
      <c r="J13" s="211">
        <v>0</v>
      </c>
      <c r="K13" s="212">
        <v>0</v>
      </c>
      <c r="L13" s="212">
        <v>2.4</v>
      </c>
      <c r="M13" s="212">
        <v>1.8</v>
      </c>
      <c r="N13" s="212">
        <v>0</v>
      </c>
      <c r="O13" s="211">
        <v>0</v>
      </c>
      <c r="P13" s="211">
        <v>0</v>
      </c>
      <c r="Q13" s="211">
        <v>0</v>
      </c>
      <c r="R13" s="213">
        <f t="shared" si="0"/>
        <v>856.29999999999984</v>
      </c>
      <c r="S13" s="213">
        <f>313944230/1000000</f>
        <v>313.94423</v>
      </c>
    </row>
    <row r="14" spans="1:19" x14ac:dyDescent="0.35">
      <c r="A14" s="208">
        <v>7</v>
      </c>
      <c r="B14" s="215" t="s">
        <v>399</v>
      </c>
      <c r="C14" s="210">
        <v>0</v>
      </c>
      <c r="D14" s="211">
        <v>0</v>
      </c>
      <c r="E14" s="211">
        <v>0</v>
      </c>
      <c r="F14" s="211">
        <v>0</v>
      </c>
      <c r="G14" s="212">
        <v>0</v>
      </c>
      <c r="H14" s="212">
        <v>0</v>
      </c>
      <c r="I14" s="212">
        <v>0</v>
      </c>
      <c r="J14" s="211">
        <v>0</v>
      </c>
      <c r="K14" s="212">
        <v>0</v>
      </c>
      <c r="L14" s="212">
        <v>13446.8</v>
      </c>
      <c r="M14" s="212">
        <v>0</v>
      </c>
      <c r="N14" s="212">
        <v>0</v>
      </c>
      <c r="O14" s="211">
        <v>0</v>
      </c>
      <c r="P14" s="211">
        <v>0</v>
      </c>
      <c r="Q14" s="211">
        <v>0</v>
      </c>
      <c r="R14" s="213">
        <f t="shared" si="0"/>
        <v>13446.8</v>
      </c>
      <c r="S14" s="213">
        <f>73161657/1000000</f>
        <v>73.161657000000005</v>
      </c>
    </row>
    <row r="15" spans="1:19" x14ac:dyDescent="0.35">
      <c r="A15" s="208">
        <v>8</v>
      </c>
      <c r="B15" s="215" t="s">
        <v>400</v>
      </c>
      <c r="C15" s="210">
        <v>0</v>
      </c>
      <c r="D15" s="211">
        <v>0</v>
      </c>
      <c r="E15" s="211">
        <v>0</v>
      </c>
      <c r="F15" s="211">
        <v>0</v>
      </c>
      <c r="G15" s="212">
        <v>0</v>
      </c>
      <c r="H15" s="212">
        <v>0</v>
      </c>
      <c r="I15" s="212">
        <v>0</v>
      </c>
      <c r="J15" s="211">
        <v>0</v>
      </c>
      <c r="K15" s="212">
        <v>32062</v>
      </c>
      <c r="L15" s="212">
        <v>0</v>
      </c>
      <c r="M15" s="212">
        <v>0</v>
      </c>
      <c r="N15" s="212">
        <v>0</v>
      </c>
      <c r="O15" s="211">
        <v>0</v>
      </c>
      <c r="P15" s="211">
        <v>0</v>
      </c>
      <c r="Q15" s="211">
        <v>0</v>
      </c>
      <c r="R15" s="213">
        <f t="shared" si="0"/>
        <v>32062</v>
      </c>
      <c r="S15" s="214">
        <v>0</v>
      </c>
    </row>
    <row r="16" spans="1:19" x14ac:dyDescent="0.35">
      <c r="A16" s="208">
        <v>9</v>
      </c>
      <c r="B16" s="215" t="s">
        <v>401</v>
      </c>
      <c r="C16" s="210">
        <v>0</v>
      </c>
      <c r="D16" s="211">
        <v>0</v>
      </c>
      <c r="E16" s="211">
        <v>0</v>
      </c>
      <c r="F16" s="211">
        <v>0</v>
      </c>
      <c r="G16" s="212">
        <v>0</v>
      </c>
      <c r="H16" s="212">
        <v>11079.9</v>
      </c>
      <c r="I16" s="212">
        <v>1316.8</v>
      </c>
      <c r="J16" s="211">
        <v>0</v>
      </c>
      <c r="K16" s="212">
        <v>0</v>
      </c>
      <c r="L16" s="212">
        <v>0</v>
      </c>
      <c r="M16" s="212">
        <v>-2.4</v>
      </c>
      <c r="N16" s="212">
        <v>0</v>
      </c>
      <c r="O16" s="211">
        <v>0</v>
      </c>
      <c r="P16" s="211">
        <v>0</v>
      </c>
      <c r="Q16" s="211">
        <v>0</v>
      </c>
      <c r="R16" s="213">
        <f t="shared" si="0"/>
        <v>12394.3</v>
      </c>
      <c r="S16" s="214">
        <v>0</v>
      </c>
    </row>
    <row r="17" spans="1:19" x14ac:dyDescent="0.35">
      <c r="A17" s="208">
        <v>10</v>
      </c>
      <c r="B17" s="215" t="s">
        <v>319</v>
      </c>
      <c r="C17" s="210">
        <v>0</v>
      </c>
      <c r="D17" s="211">
        <v>0</v>
      </c>
      <c r="E17" s="211">
        <v>0</v>
      </c>
      <c r="F17" s="211">
        <v>0</v>
      </c>
      <c r="G17" s="212">
        <v>0</v>
      </c>
      <c r="H17" s="212">
        <v>0</v>
      </c>
      <c r="I17" s="212">
        <v>0</v>
      </c>
      <c r="J17" s="211">
        <v>0</v>
      </c>
      <c r="K17" s="212">
        <v>0</v>
      </c>
      <c r="L17" s="212">
        <v>1054.4000000000001</v>
      </c>
      <c r="M17" s="212">
        <v>1096.3</v>
      </c>
      <c r="N17" s="212">
        <v>0</v>
      </c>
      <c r="O17" s="211">
        <v>0</v>
      </c>
      <c r="P17" s="211">
        <v>0</v>
      </c>
      <c r="Q17" s="211">
        <v>0</v>
      </c>
      <c r="R17" s="213">
        <f t="shared" si="0"/>
        <v>2150.6999999999998</v>
      </c>
      <c r="S17" s="214">
        <v>0</v>
      </c>
    </row>
    <row r="18" spans="1:19" x14ac:dyDescent="0.35">
      <c r="A18" s="208">
        <v>11</v>
      </c>
      <c r="B18" s="215" t="s">
        <v>402</v>
      </c>
      <c r="C18" s="210">
        <v>0</v>
      </c>
      <c r="D18" s="211">
        <v>0</v>
      </c>
      <c r="E18" s="211">
        <v>0</v>
      </c>
      <c r="F18" s="211">
        <v>0</v>
      </c>
      <c r="G18" s="212">
        <v>0</v>
      </c>
      <c r="H18" s="212">
        <v>0</v>
      </c>
      <c r="I18" s="212">
        <v>0</v>
      </c>
      <c r="J18" s="211">
        <v>0</v>
      </c>
      <c r="K18" s="212">
        <v>0</v>
      </c>
      <c r="L18" s="212">
        <v>0</v>
      </c>
      <c r="M18" s="212">
        <v>796.2</v>
      </c>
      <c r="N18" s="212">
        <v>0</v>
      </c>
      <c r="O18" s="211">
        <v>0</v>
      </c>
      <c r="P18" s="211">
        <v>0</v>
      </c>
      <c r="Q18" s="211">
        <v>0</v>
      </c>
      <c r="R18" s="213">
        <f t="shared" si="0"/>
        <v>796.2</v>
      </c>
      <c r="S18" s="214">
        <v>0</v>
      </c>
    </row>
    <row r="19" spans="1:19" x14ac:dyDescent="0.35">
      <c r="A19" s="208">
        <v>12</v>
      </c>
      <c r="B19" s="215" t="s">
        <v>403</v>
      </c>
      <c r="C19" s="210">
        <v>0</v>
      </c>
      <c r="D19" s="211">
        <v>0</v>
      </c>
      <c r="E19" s="211">
        <v>0</v>
      </c>
      <c r="F19" s="211">
        <v>0</v>
      </c>
      <c r="G19" s="212">
        <v>0</v>
      </c>
      <c r="H19" s="212">
        <v>0</v>
      </c>
      <c r="I19" s="212">
        <v>0</v>
      </c>
      <c r="J19" s="211">
        <v>0</v>
      </c>
      <c r="K19" s="212">
        <v>0</v>
      </c>
      <c r="L19" s="212">
        <v>0</v>
      </c>
      <c r="M19" s="212">
        <v>0</v>
      </c>
      <c r="N19" s="212">
        <v>0</v>
      </c>
      <c r="O19" s="211">
        <v>0</v>
      </c>
      <c r="P19" s="211">
        <v>0</v>
      </c>
      <c r="Q19" s="211">
        <v>0</v>
      </c>
      <c r="R19" s="213">
        <f t="shared" si="0"/>
        <v>0</v>
      </c>
      <c r="S19" s="214">
        <v>0</v>
      </c>
    </row>
    <row r="20" spans="1:19" x14ac:dyDescent="0.35">
      <c r="A20" s="208">
        <v>13</v>
      </c>
      <c r="B20" s="215" t="s">
        <v>404</v>
      </c>
      <c r="C20" s="210">
        <v>0</v>
      </c>
      <c r="D20" s="211">
        <v>0</v>
      </c>
      <c r="E20" s="211">
        <v>0</v>
      </c>
      <c r="F20" s="211">
        <v>0</v>
      </c>
      <c r="G20" s="212">
        <v>0</v>
      </c>
      <c r="H20" s="212">
        <v>0</v>
      </c>
      <c r="I20" s="212">
        <v>0</v>
      </c>
      <c r="J20" s="211">
        <v>0</v>
      </c>
      <c r="K20" s="212">
        <v>0</v>
      </c>
      <c r="L20" s="212">
        <v>0</v>
      </c>
      <c r="M20" s="212">
        <v>0</v>
      </c>
      <c r="N20" s="212">
        <v>0</v>
      </c>
      <c r="O20" s="211">
        <v>0</v>
      </c>
      <c r="P20" s="211">
        <v>0</v>
      </c>
      <c r="Q20" s="211">
        <v>0</v>
      </c>
      <c r="R20" s="213">
        <f t="shared" si="0"/>
        <v>0</v>
      </c>
      <c r="S20" s="214">
        <v>0</v>
      </c>
    </row>
    <row r="21" spans="1:19" x14ac:dyDescent="0.35">
      <c r="A21" s="208">
        <v>14</v>
      </c>
      <c r="B21" s="215" t="s">
        <v>405</v>
      </c>
      <c r="C21" s="210">
        <v>0</v>
      </c>
      <c r="D21" s="211">
        <v>0</v>
      </c>
      <c r="E21" s="211">
        <v>0</v>
      </c>
      <c r="F21" s="211">
        <v>0</v>
      </c>
      <c r="G21" s="212">
        <v>0</v>
      </c>
      <c r="H21" s="212">
        <v>0</v>
      </c>
      <c r="I21" s="212">
        <v>0</v>
      </c>
      <c r="J21" s="211">
        <v>0</v>
      </c>
      <c r="K21" s="212">
        <v>0</v>
      </c>
      <c r="L21" s="212">
        <v>0</v>
      </c>
      <c r="M21" s="212">
        <v>0</v>
      </c>
      <c r="N21" s="212">
        <v>0</v>
      </c>
      <c r="O21" s="211">
        <v>0</v>
      </c>
      <c r="P21" s="211">
        <v>0</v>
      </c>
      <c r="Q21" s="211">
        <v>0</v>
      </c>
      <c r="R21" s="213">
        <f t="shared" si="0"/>
        <v>0</v>
      </c>
      <c r="S21" s="214">
        <v>0</v>
      </c>
    </row>
    <row r="22" spans="1:19" x14ac:dyDescent="0.35">
      <c r="A22" s="208">
        <v>15</v>
      </c>
      <c r="B22" s="215" t="s">
        <v>238</v>
      </c>
      <c r="C22" s="210">
        <v>120.6</v>
      </c>
      <c r="D22" s="211">
        <v>0</v>
      </c>
      <c r="E22" s="211">
        <v>0</v>
      </c>
      <c r="F22" s="211">
        <v>0</v>
      </c>
      <c r="G22" s="212">
        <v>0</v>
      </c>
      <c r="H22" s="212">
        <v>0</v>
      </c>
      <c r="I22" s="212">
        <v>0</v>
      </c>
      <c r="J22" s="211">
        <v>0</v>
      </c>
      <c r="K22" s="212">
        <v>0</v>
      </c>
      <c r="L22" s="212">
        <v>1101.2</v>
      </c>
      <c r="M22" s="212">
        <v>0</v>
      </c>
      <c r="N22" s="212">
        <v>486.9</v>
      </c>
      <c r="O22" s="211">
        <v>0</v>
      </c>
      <c r="P22" s="211">
        <v>0</v>
      </c>
      <c r="Q22" s="211">
        <v>0</v>
      </c>
      <c r="R22" s="213">
        <f t="shared" si="0"/>
        <v>1708.6999999999998</v>
      </c>
      <c r="S22" s="214">
        <v>0</v>
      </c>
    </row>
    <row r="23" spans="1:19" x14ac:dyDescent="0.35">
      <c r="A23" s="208">
        <v>16</v>
      </c>
      <c r="B23" s="215" t="s">
        <v>406</v>
      </c>
      <c r="C23" s="210">
        <v>363.7</v>
      </c>
      <c r="D23" s="211">
        <v>0</v>
      </c>
      <c r="E23" s="211">
        <v>0</v>
      </c>
      <c r="F23" s="211">
        <v>0</v>
      </c>
      <c r="G23" s="212">
        <v>0</v>
      </c>
      <c r="H23" s="212">
        <v>0</v>
      </c>
      <c r="I23" s="212">
        <v>0</v>
      </c>
      <c r="J23" s="211">
        <v>0</v>
      </c>
      <c r="K23" s="212">
        <v>0</v>
      </c>
      <c r="L23" s="212">
        <v>2635.4</v>
      </c>
      <c r="M23" s="212">
        <v>0</v>
      </c>
      <c r="N23" s="212">
        <v>56.4</v>
      </c>
      <c r="O23" s="211">
        <v>0</v>
      </c>
      <c r="P23" s="211">
        <v>0</v>
      </c>
      <c r="Q23" s="211">
        <v>0</v>
      </c>
      <c r="R23" s="213">
        <f t="shared" si="0"/>
        <v>3055.5</v>
      </c>
      <c r="S23" s="214">
        <v>0</v>
      </c>
    </row>
    <row r="24" spans="1:19" x14ac:dyDescent="0.35">
      <c r="A24" s="216">
        <v>17</v>
      </c>
      <c r="B24" s="217" t="s">
        <v>407</v>
      </c>
      <c r="C24" s="218">
        <f t="shared" ref="C24:N24" si="1">SUM(C8:C23)</f>
        <v>9751.6000000000022</v>
      </c>
      <c r="D24" s="218">
        <f t="shared" si="1"/>
        <v>0</v>
      </c>
      <c r="E24" s="218">
        <f t="shared" si="1"/>
        <v>0</v>
      </c>
      <c r="F24" s="218">
        <f t="shared" si="1"/>
        <v>0</v>
      </c>
      <c r="G24" s="218">
        <f t="shared" si="1"/>
        <v>488.9</v>
      </c>
      <c r="H24" s="218">
        <f t="shared" si="1"/>
        <v>11079.9</v>
      </c>
      <c r="I24" s="218">
        <f t="shared" si="1"/>
        <v>1643.1</v>
      </c>
      <c r="J24" s="218">
        <f t="shared" si="1"/>
        <v>0</v>
      </c>
      <c r="K24" s="219">
        <f t="shared" si="1"/>
        <v>32062</v>
      </c>
      <c r="L24" s="219">
        <f t="shared" si="1"/>
        <v>18241.8</v>
      </c>
      <c r="M24" s="219">
        <f t="shared" si="1"/>
        <v>1891.9</v>
      </c>
      <c r="N24" s="219">
        <f t="shared" si="1"/>
        <v>543.29999999999995</v>
      </c>
      <c r="O24" s="220">
        <v>0</v>
      </c>
      <c r="P24" s="219">
        <f>SUM(P8:P23)</f>
        <v>0</v>
      </c>
      <c r="Q24" s="219">
        <f>SUM(Q8:Q23)</f>
        <v>0</v>
      </c>
      <c r="R24" s="219">
        <f t="shared" si="0"/>
        <v>75702.5</v>
      </c>
      <c r="S24" s="219">
        <f>SUM(S8:S23)</f>
        <v>387.105887</v>
      </c>
    </row>
  </sheetData>
  <mergeCells count="4">
    <mergeCell ref="B5:B7"/>
    <mergeCell ref="C5:Q5"/>
    <mergeCell ref="R5:R6"/>
    <mergeCell ref="S5:S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D374-A678-497B-B033-79DC3E8C7549}">
  <dimension ref="A3:J18"/>
  <sheetViews>
    <sheetView workbookViewId="0">
      <selection activeCell="D13" sqref="D13"/>
    </sheetView>
  </sheetViews>
  <sheetFormatPr defaultRowHeight="14.5" x14ac:dyDescent="0.35"/>
  <cols>
    <col min="2" max="2" width="41.54296875" customWidth="1"/>
    <col min="3" max="5" width="15" customWidth="1"/>
    <col min="6" max="6" width="16.81640625" customWidth="1"/>
    <col min="7" max="8" width="15" customWidth="1"/>
    <col min="9" max="9" width="16.1796875" customWidth="1"/>
    <col min="10" max="10" width="15" customWidth="1"/>
  </cols>
  <sheetData>
    <row r="3" spans="1:10" ht="18.5" x14ac:dyDescent="0.35">
      <c r="A3" s="231" t="s">
        <v>415</v>
      </c>
      <c r="B3" s="221"/>
    </row>
    <row r="4" spans="1:10" ht="15.5" x14ac:dyDescent="0.35">
      <c r="A4" s="232" t="s">
        <v>416</v>
      </c>
    </row>
    <row r="5" spans="1:10" x14ac:dyDescent="0.35">
      <c r="A5" s="222"/>
      <c r="B5" s="223"/>
      <c r="C5" s="224"/>
      <c r="D5" s="224"/>
      <c r="E5" s="224"/>
      <c r="F5" s="224"/>
      <c r="G5" s="224"/>
      <c r="H5" s="224"/>
      <c r="I5" s="224"/>
      <c r="J5" s="224"/>
    </row>
    <row r="6" spans="1:10" x14ac:dyDescent="0.35">
      <c r="A6" s="225"/>
      <c r="B6" s="226"/>
      <c r="C6" s="227" t="s">
        <v>226</v>
      </c>
      <c r="D6" s="227" t="s">
        <v>227</v>
      </c>
      <c r="E6" s="227" t="s">
        <v>228</v>
      </c>
      <c r="F6" s="227" t="s">
        <v>275</v>
      </c>
      <c r="G6" s="227" t="s">
        <v>276</v>
      </c>
      <c r="H6" s="227" t="s">
        <v>277</v>
      </c>
      <c r="I6" s="227" t="s">
        <v>278</v>
      </c>
      <c r="J6" s="227" t="s">
        <v>279</v>
      </c>
    </row>
    <row r="7" spans="1:10" ht="62.5" x14ac:dyDescent="0.35">
      <c r="A7" s="225"/>
      <c r="B7" s="226" t="s">
        <v>62</v>
      </c>
      <c r="C7" s="227" t="s">
        <v>417</v>
      </c>
      <c r="D7" s="227" t="s">
        <v>418</v>
      </c>
      <c r="E7" s="227" t="s">
        <v>419</v>
      </c>
      <c r="F7" s="227" t="s">
        <v>420</v>
      </c>
      <c r="G7" s="227" t="s">
        <v>421</v>
      </c>
      <c r="H7" s="227" t="s">
        <v>422</v>
      </c>
      <c r="I7" s="227" t="s">
        <v>423</v>
      </c>
      <c r="J7" s="227" t="s">
        <v>290</v>
      </c>
    </row>
    <row r="8" spans="1:10" ht="25" x14ac:dyDescent="0.35">
      <c r="A8" s="227" t="s">
        <v>424</v>
      </c>
      <c r="B8" s="228" t="s">
        <v>425</v>
      </c>
      <c r="C8" s="238"/>
      <c r="D8" s="238"/>
      <c r="E8" s="239"/>
      <c r="F8" s="240" t="s">
        <v>426</v>
      </c>
      <c r="G8" s="240"/>
      <c r="H8" s="241"/>
      <c r="I8" s="241"/>
      <c r="J8" s="241"/>
    </row>
    <row r="9" spans="1:10" ht="25" x14ac:dyDescent="0.35">
      <c r="A9" s="227" t="s">
        <v>427</v>
      </c>
      <c r="B9" s="228" t="s">
        <v>428</v>
      </c>
      <c r="C9" s="242"/>
      <c r="D9" s="242"/>
      <c r="E9" s="243"/>
      <c r="F9" s="244" t="s">
        <v>426</v>
      </c>
      <c r="G9" s="244"/>
      <c r="H9" s="242"/>
      <c r="I9" s="242"/>
      <c r="J9" s="242"/>
    </row>
    <row r="10" spans="1:10" ht="25" x14ac:dyDescent="0.35">
      <c r="A10" s="227">
        <v>1</v>
      </c>
      <c r="B10" s="228" t="s">
        <v>429</v>
      </c>
      <c r="C10" s="245">
        <v>82.09206691</v>
      </c>
      <c r="D10" s="245">
        <v>342.75851849999998</v>
      </c>
      <c r="E10" s="246"/>
      <c r="F10" s="247"/>
      <c r="G10" s="247">
        <v>1021.0290778899999</v>
      </c>
      <c r="H10" s="245">
        <v>778.27129903999992</v>
      </c>
      <c r="I10" s="245">
        <v>778.27129903999992</v>
      </c>
      <c r="J10" s="245">
        <v>242.57046369709593</v>
      </c>
    </row>
    <row r="11" spans="1:10" ht="37.5" x14ac:dyDescent="0.35">
      <c r="A11" s="227">
        <v>2</v>
      </c>
      <c r="B11" s="226" t="s">
        <v>430</v>
      </c>
      <c r="C11" s="246"/>
      <c r="D11" s="246"/>
      <c r="E11" s="245"/>
      <c r="F11" s="245"/>
      <c r="G11" s="245"/>
      <c r="H11" s="245"/>
      <c r="I11" s="245"/>
      <c r="J11" s="245"/>
    </row>
    <row r="12" spans="1:10" ht="26" x14ac:dyDescent="0.35">
      <c r="A12" s="227" t="s">
        <v>431</v>
      </c>
      <c r="B12" s="229" t="s">
        <v>432</v>
      </c>
      <c r="C12" s="246"/>
      <c r="D12" s="246"/>
      <c r="E12" s="245"/>
      <c r="F12" s="246"/>
      <c r="G12" s="245"/>
      <c r="H12" s="245"/>
      <c r="I12" s="245"/>
      <c r="J12" s="245"/>
    </row>
    <row r="13" spans="1:10" ht="26" x14ac:dyDescent="0.35">
      <c r="A13" s="227" t="s">
        <v>433</v>
      </c>
      <c r="B13" s="229" t="s">
        <v>434</v>
      </c>
      <c r="C13" s="246"/>
      <c r="D13" s="246"/>
      <c r="E13" s="245"/>
      <c r="F13" s="246"/>
      <c r="G13" s="245"/>
      <c r="H13" s="245"/>
      <c r="I13" s="245"/>
      <c r="J13" s="245"/>
    </row>
    <row r="14" spans="1:10" ht="26" x14ac:dyDescent="0.35">
      <c r="A14" s="227" t="s">
        <v>435</v>
      </c>
      <c r="B14" s="229" t="s">
        <v>436</v>
      </c>
      <c r="C14" s="246"/>
      <c r="D14" s="246"/>
      <c r="E14" s="245"/>
      <c r="F14" s="246"/>
      <c r="G14" s="245"/>
      <c r="H14" s="245"/>
      <c r="I14" s="245"/>
      <c r="J14" s="245"/>
    </row>
    <row r="15" spans="1:10" ht="25" x14ac:dyDescent="0.35">
      <c r="A15" s="227">
        <v>3</v>
      </c>
      <c r="B15" s="226" t="s">
        <v>437</v>
      </c>
      <c r="C15" s="246"/>
      <c r="D15" s="246"/>
      <c r="E15" s="246"/>
      <c r="F15" s="246"/>
      <c r="G15" s="245"/>
      <c r="H15" s="245"/>
      <c r="I15" s="245"/>
      <c r="J15" s="245"/>
    </row>
    <row r="16" spans="1:10" ht="25" x14ac:dyDescent="0.35">
      <c r="A16" s="227">
        <v>4</v>
      </c>
      <c r="B16" s="226" t="s">
        <v>438</v>
      </c>
      <c r="C16" s="246"/>
      <c r="D16" s="246"/>
      <c r="E16" s="246"/>
      <c r="F16" s="246"/>
      <c r="G16" s="245">
        <v>925.55310810782407</v>
      </c>
      <c r="H16" s="245">
        <v>161.34083233685226</v>
      </c>
      <c r="I16" s="245">
        <v>161.34083233685226</v>
      </c>
      <c r="J16" s="245">
        <v>119.41072419454822</v>
      </c>
    </row>
    <row r="17" spans="1:10" ht="25" x14ac:dyDescent="0.35">
      <c r="A17" s="227">
        <v>5</v>
      </c>
      <c r="B17" s="226" t="s">
        <v>439</v>
      </c>
      <c r="C17" s="246"/>
      <c r="D17" s="246"/>
      <c r="E17" s="246"/>
      <c r="F17" s="246"/>
      <c r="G17" s="245"/>
      <c r="H17" s="245"/>
      <c r="I17" s="245"/>
      <c r="J17" s="245"/>
    </row>
    <row r="18" spans="1:10" x14ac:dyDescent="0.35">
      <c r="A18" s="227">
        <v>6</v>
      </c>
      <c r="B18" s="230" t="s">
        <v>300</v>
      </c>
      <c r="C18" s="246"/>
      <c r="D18" s="246"/>
      <c r="E18" s="246"/>
      <c r="F18" s="246"/>
      <c r="G18" s="248">
        <f>G10+G16</f>
        <v>1946.5821859978241</v>
      </c>
      <c r="H18" s="248">
        <f>H10+H16</f>
        <v>939.61213137685218</v>
      </c>
      <c r="I18" s="248">
        <f>I10+I16</f>
        <v>939.61213137685218</v>
      </c>
      <c r="J18" s="248">
        <f>J10+J16</f>
        <v>361.98118789164414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ACC9-51F3-46B0-B17F-9EA25E0DFE7A}">
  <dimension ref="A2:D12"/>
  <sheetViews>
    <sheetView workbookViewId="0">
      <selection activeCell="F16" sqref="F16"/>
    </sheetView>
  </sheetViews>
  <sheetFormatPr defaultRowHeight="14.5" x14ac:dyDescent="0.35"/>
  <cols>
    <col min="1" max="1" width="5.26953125" customWidth="1"/>
    <col min="2" max="2" width="41.54296875" customWidth="1"/>
    <col min="3" max="3" width="14.7265625" customWidth="1"/>
    <col min="4" max="4" width="15" customWidth="1"/>
  </cols>
  <sheetData>
    <row r="2" spans="1:4" ht="18.5" x14ac:dyDescent="0.35">
      <c r="A2" s="253" t="s">
        <v>440</v>
      </c>
    </row>
    <row r="3" spans="1:4" x14ac:dyDescent="0.35">
      <c r="A3" s="249"/>
      <c r="C3" s="249"/>
      <c r="D3" s="249"/>
    </row>
    <row r="4" spans="1:4" ht="15.5" x14ac:dyDescent="0.35">
      <c r="A4" s="250"/>
      <c r="B4" s="254" t="s">
        <v>416</v>
      </c>
      <c r="C4" s="225" t="s">
        <v>226</v>
      </c>
      <c r="D4" s="225" t="s">
        <v>227</v>
      </c>
    </row>
    <row r="5" spans="1:4" x14ac:dyDescent="0.35">
      <c r="A5" s="251"/>
      <c r="B5" s="549"/>
      <c r="C5" s="551" t="s">
        <v>441</v>
      </c>
      <c r="D5" s="552" t="s">
        <v>290</v>
      </c>
    </row>
    <row r="6" spans="1:4" x14ac:dyDescent="0.35">
      <c r="A6" s="252"/>
      <c r="B6" s="550"/>
      <c r="C6" s="551"/>
      <c r="D6" s="552"/>
    </row>
    <row r="7" spans="1:4" ht="26" x14ac:dyDescent="0.35">
      <c r="A7" s="225">
        <v>1</v>
      </c>
      <c r="B7" s="256" t="s">
        <v>442</v>
      </c>
      <c r="C7" s="234"/>
      <c r="D7" s="234"/>
    </row>
    <row r="8" spans="1:4" ht="26" x14ac:dyDescent="0.35">
      <c r="A8" s="225">
        <v>2</v>
      </c>
      <c r="B8" s="256" t="s">
        <v>443</v>
      </c>
      <c r="C8" s="233"/>
      <c r="D8" s="234"/>
    </row>
    <row r="9" spans="1:4" ht="26" x14ac:dyDescent="0.35">
      <c r="A9" s="225">
        <v>3</v>
      </c>
      <c r="B9" s="256" t="s">
        <v>444</v>
      </c>
      <c r="C9" s="233"/>
      <c r="D9" s="234"/>
    </row>
    <row r="10" spans="1:4" x14ac:dyDescent="0.35">
      <c r="A10" s="225">
        <v>4</v>
      </c>
      <c r="B10" s="256" t="s">
        <v>445</v>
      </c>
      <c r="C10" s="241">
        <v>721.42182331000004</v>
      </c>
      <c r="D10" s="241">
        <v>121.8026766905122</v>
      </c>
    </row>
    <row r="11" spans="1:4" ht="26" x14ac:dyDescent="0.35">
      <c r="A11" s="227" t="s">
        <v>446</v>
      </c>
      <c r="B11" s="256" t="s">
        <v>447</v>
      </c>
      <c r="C11" s="234"/>
      <c r="D11" s="234"/>
    </row>
    <row r="12" spans="1:4" ht="49" customHeight="1" x14ac:dyDescent="0.35">
      <c r="A12" s="225">
        <v>5</v>
      </c>
      <c r="B12" s="257" t="s">
        <v>448</v>
      </c>
      <c r="C12" s="258">
        <v>721.42182331000004</v>
      </c>
      <c r="D12" s="258">
        <v>121.8026766905122</v>
      </c>
    </row>
  </sheetData>
  <mergeCells count="3">
    <mergeCell ref="B5:B6"/>
    <mergeCell ref="C5:C6"/>
    <mergeCell ref="D5:D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8258-71A0-4645-873E-7F90D885F2F2}">
  <dimension ref="A3:N19"/>
  <sheetViews>
    <sheetView workbookViewId="0">
      <selection activeCell="C23" sqref="C23"/>
    </sheetView>
  </sheetViews>
  <sheetFormatPr defaultColWidth="8.7265625" defaultRowHeight="14.5" x14ac:dyDescent="0.35"/>
  <cols>
    <col min="1" max="1" width="5.81640625" style="259" customWidth="1"/>
    <col min="2" max="2" width="54.453125" style="259" customWidth="1"/>
    <col min="3" max="13" width="5.453125" style="259" customWidth="1"/>
    <col min="14" max="14" width="13.26953125" style="259" customWidth="1"/>
    <col min="15" max="16384" width="8.7265625" style="259"/>
  </cols>
  <sheetData>
    <row r="3" spans="1:14" ht="18.5" x14ac:dyDescent="0.45">
      <c r="A3" s="281" t="s">
        <v>449</v>
      </c>
    </row>
    <row r="4" spans="1:14" ht="15.5" x14ac:dyDescent="0.35">
      <c r="A4" s="232" t="s">
        <v>416</v>
      </c>
    </row>
    <row r="5" spans="1:14" x14ac:dyDescent="0.35">
      <c r="A5" s="261"/>
    </row>
    <row r="6" spans="1:14" x14ac:dyDescent="0.35">
      <c r="A6" s="262"/>
      <c r="B6" s="553" t="s">
        <v>450</v>
      </c>
      <c r="C6" s="553" t="s">
        <v>410</v>
      </c>
      <c r="D6" s="553"/>
      <c r="E6" s="553"/>
      <c r="F6" s="553"/>
      <c r="G6" s="553"/>
      <c r="H6" s="553"/>
      <c r="I6" s="553"/>
      <c r="J6" s="553"/>
      <c r="K6" s="553"/>
      <c r="L6" s="553"/>
      <c r="M6" s="553"/>
      <c r="N6" s="264"/>
    </row>
    <row r="7" spans="1:14" x14ac:dyDescent="0.35">
      <c r="A7" s="265"/>
      <c r="B7" s="554"/>
      <c r="C7" s="263" t="s">
        <v>226</v>
      </c>
      <c r="D7" s="263" t="s">
        <v>227</v>
      </c>
      <c r="E7" s="263" t="s">
        <v>228</v>
      </c>
      <c r="F7" s="263" t="s">
        <v>275</v>
      </c>
      <c r="G7" s="263" t="s">
        <v>276</v>
      </c>
      <c r="H7" s="263" t="s">
        <v>277</v>
      </c>
      <c r="I7" s="263" t="s">
        <v>278</v>
      </c>
      <c r="J7" s="263" t="s">
        <v>279</v>
      </c>
      <c r="K7" s="263" t="s">
        <v>280</v>
      </c>
      <c r="L7" s="263" t="s">
        <v>281</v>
      </c>
      <c r="M7" s="263" t="s">
        <v>282</v>
      </c>
      <c r="N7" s="266" t="s">
        <v>283</v>
      </c>
    </row>
    <row r="8" spans="1:14" ht="43.5" x14ac:dyDescent="0.35">
      <c r="A8" s="267"/>
      <c r="B8" s="554"/>
      <c r="C8" s="268">
        <v>0</v>
      </c>
      <c r="D8" s="268">
        <v>0.02</v>
      </c>
      <c r="E8" s="268">
        <v>0.04</v>
      </c>
      <c r="F8" s="268">
        <v>0.1</v>
      </c>
      <c r="G8" s="268">
        <v>0.2</v>
      </c>
      <c r="H8" s="268">
        <v>0.5</v>
      </c>
      <c r="I8" s="268">
        <v>0.7</v>
      </c>
      <c r="J8" s="268">
        <v>0.75</v>
      </c>
      <c r="K8" s="268">
        <v>1</v>
      </c>
      <c r="L8" s="268">
        <v>1.5</v>
      </c>
      <c r="M8" s="263" t="s">
        <v>412</v>
      </c>
      <c r="N8" s="269" t="s">
        <v>451</v>
      </c>
    </row>
    <row r="9" spans="1:14" x14ac:dyDescent="0.35">
      <c r="A9" s="255">
        <v>1</v>
      </c>
      <c r="B9" s="270" t="s">
        <v>393</v>
      </c>
      <c r="C9" s="271">
        <v>0</v>
      </c>
      <c r="D9" s="272">
        <v>0</v>
      </c>
      <c r="E9" s="272">
        <v>0</v>
      </c>
      <c r="F9" s="272">
        <v>0</v>
      </c>
      <c r="G9" s="272">
        <v>0</v>
      </c>
      <c r="H9" s="272">
        <v>0</v>
      </c>
      <c r="I9" s="272">
        <v>0</v>
      </c>
      <c r="J9" s="272">
        <v>0</v>
      </c>
      <c r="K9" s="272">
        <v>0</v>
      </c>
      <c r="L9" s="272">
        <v>0</v>
      </c>
      <c r="M9" s="272">
        <v>0</v>
      </c>
      <c r="N9" s="273">
        <f t="shared" ref="N9:N18" si="0">SUM(C9:M9)</f>
        <v>0</v>
      </c>
    </row>
    <row r="10" spans="1:14" x14ac:dyDescent="0.35">
      <c r="A10" s="255">
        <v>2</v>
      </c>
      <c r="B10" s="274" t="s">
        <v>394</v>
      </c>
      <c r="C10" s="275">
        <v>0</v>
      </c>
      <c r="D10" s="276">
        <v>0</v>
      </c>
      <c r="E10" s="276">
        <v>0</v>
      </c>
      <c r="F10" s="276">
        <v>0</v>
      </c>
      <c r="G10" s="276">
        <v>0</v>
      </c>
      <c r="H10" s="276">
        <v>0</v>
      </c>
      <c r="I10" s="276">
        <v>0</v>
      </c>
      <c r="J10" s="276">
        <v>0</v>
      </c>
      <c r="K10" s="276">
        <v>0</v>
      </c>
      <c r="L10" s="276">
        <v>0</v>
      </c>
      <c r="M10" s="276">
        <v>0</v>
      </c>
      <c r="N10" s="273">
        <f t="shared" si="0"/>
        <v>0</v>
      </c>
    </row>
    <row r="11" spans="1:14" x14ac:dyDescent="0.35">
      <c r="A11" s="255">
        <v>3</v>
      </c>
      <c r="B11" s="274" t="s">
        <v>395</v>
      </c>
      <c r="C11" s="275">
        <v>0</v>
      </c>
      <c r="D11" s="276">
        <v>0</v>
      </c>
      <c r="E11" s="276">
        <v>0</v>
      </c>
      <c r="F11" s="276">
        <v>0</v>
      </c>
      <c r="G11" s="276">
        <v>0</v>
      </c>
      <c r="H11" s="276">
        <v>0</v>
      </c>
      <c r="I11" s="276">
        <v>0</v>
      </c>
      <c r="J11" s="276">
        <v>0</v>
      </c>
      <c r="K11" s="276">
        <v>0</v>
      </c>
      <c r="L11" s="276">
        <v>0</v>
      </c>
      <c r="M11" s="276">
        <v>0</v>
      </c>
      <c r="N11" s="273">
        <f t="shared" si="0"/>
        <v>0</v>
      </c>
    </row>
    <row r="12" spans="1:14" x14ac:dyDescent="0.35">
      <c r="A12" s="255">
        <v>4</v>
      </c>
      <c r="B12" s="274" t="s">
        <v>396</v>
      </c>
      <c r="C12" s="275">
        <v>0</v>
      </c>
      <c r="D12" s="276">
        <v>0</v>
      </c>
      <c r="E12" s="276">
        <v>0</v>
      </c>
      <c r="F12" s="276">
        <v>0</v>
      </c>
      <c r="G12" s="276">
        <v>0</v>
      </c>
      <c r="H12" s="276">
        <v>0</v>
      </c>
      <c r="I12" s="276">
        <v>0</v>
      </c>
      <c r="J12" s="276">
        <v>0</v>
      </c>
      <c r="K12" s="276">
        <v>0</v>
      </c>
      <c r="L12" s="276">
        <v>0</v>
      </c>
      <c r="M12" s="276">
        <v>0</v>
      </c>
      <c r="N12" s="273">
        <f t="shared" si="0"/>
        <v>0</v>
      </c>
    </row>
    <row r="13" spans="1:14" x14ac:dyDescent="0.35">
      <c r="A13" s="255">
        <v>5</v>
      </c>
      <c r="B13" s="274" t="s">
        <v>397</v>
      </c>
      <c r="C13" s="275">
        <v>0</v>
      </c>
      <c r="D13" s="276">
        <v>0</v>
      </c>
      <c r="E13" s="276">
        <v>0</v>
      </c>
      <c r="F13" s="276">
        <v>0</v>
      </c>
      <c r="G13" s="276">
        <v>0</v>
      </c>
      <c r="H13" s="276">
        <v>0</v>
      </c>
      <c r="I13" s="276">
        <v>0</v>
      </c>
      <c r="J13" s="276">
        <v>0</v>
      </c>
      <c r="K13" s="276">
        <v>0</v>
      </c>
      <c r="L13" s="276">
        <v>0</v>
      </c>
      <c r="M13" s="276">
        <v>0</v>
      </c>
      <c r="N13" s="273">
        <f t="shared" si="0"/>
        <v>0</v>
      </c>
    </row>
    <row r="14" spans="1:14" x14ac:dyDescent="0.35">
      <c r="A14" s="255">
        <v>6</v>
      </c>
      <c r="B14" s="274" t="s">
        <v>398</v>
      </c>
      <c r="C14" s="275">
        <v>0</v>
      </c>
      <c r="D14" s="276">
        <v>0</v>
      </c>
      <c r="E14" s="276">
        <v>0</v>
      </c>
      <c r="F14" s="276">
        <v>0</v>
      </c>
      <c r="G14" s="276">
        <f>551398396/1000000</f>
        <v>551.39839600000005</v>
      </c>
      <c r="H14" s="276">
        <f>166659228/1000000</f>
        <v>166.65922800000001</v>
      </c>
      <c r="I14" s="276">
        <v>0</v>
      </c>
      <c r="J14" s="276">
        <v>0</v>
      </c>
      <c r="K14" s="276">
        <v>0</v>
      </c>
      <c r="L14" s="276">
        <v>0</v>
      </c>
      <c r="M14" s="276">
        <v>0</v>
      </c>
      <c r="N14" s="273">
        <f t="shared" si="0"/>
        <v>718.05762400000003</v>
      </c>
    </row>
    <row r="15" spans="1:14" x14ac:dyDescent="0.35">
      <c r="A15" s="255">
        <v>7</v>
      </c>
      <c r="B15" s="277" t="s">
        <v>399</v>
      </c>
      <c r="C15" s="275">
        <v>0</v>
      </c>
      <c r="D15" s="276">
        <v>0</v>
      </c>
      <c r="E15" s="276">
        <v>0</v>
      </c>
      <c r="F15" s="276">
        <v>0</v>
      </c>
      <c r="G15" s="276">
        <v>0</v>
      </c>
      <c r="H15" s="276">
        <v>0</v>
      </c>
      <c r="I15" s="276">
        <v>0</v>
      </c>
      <c r="J15" s="276">
        <v>0</v>
      </c>
      <c r="K15" s="276">
        <f>47647173/1000000</f>
        <v>47.647173000000002</v>
      </c>
      <c r="L15" s="276">
        <v>0</v>
      </c>
      <c r="M15" s="276">
        <v>0</v>
      </c>
      <c r="N15" s="273">
        <f t="shared" si="0"/>
        <v>47.647173000000002</v>
      </c>
    </row>
    <row r="16" spans="1:14" x14ac:dyDescent="0.35">
      <c r="A16" s="255">
        <v>8</v>
      </c>
      <c r="B16" s="277" t="s">
        <v>400</v>
      </c>
      <c r="C16" s="275">
        <v>0</v>
      </c>
      <c r="D16" s="276">
        <v>0</v>
      </c>
      <c r="E16" s="276">
        <v>0</v>
      </c>
      <c r="F16" s="276">
        <v>0</v>
      </c>
      <c r="G16" s="276">
        <v>0</v>
      </c>
      <c r="H16" s="276">
        <v>0</v>
      </c>
      <c r="I16" s="276">
        <v>0</v>
      </c>
      <c r="J16" s="276">
        <f>171550257/1000000</f>
        <v>171.55025699999999</v>
      </c>
      <c r="K16" s="276">
        <v>0</v>
      </c>
      <c r="L16" s="276">
        <v>0</v>
      </c>
      <c r="M16" s="276">
        <v>0</v>
      </c>
      <c r="N16" s="273">
        <f t="shared" si="0"/>
        <v>171.55025699999999</v>
      </c>
    </row>
    <row r="17" spans="1:14" x14ac:dyDescent="0.35">
      <c r="A17" s="255">
        <v>9</v>
      </c>
      <c r="B17" s="278" t="s">
        <v>404</v>
      </c>
      <c r="C17" s="275">
        <v>0</v>
      </c>
      <c r="D17" s="276">
        <v>0</v>
      </c>
      <c r="E17" s="276">
        <v>0</v>
      </c>
      <c r="F17" s="276">
        <v>0</v>
      </c>
      <c r="G17" s="276">
        <v>0</v>
      </c>
      <c r="H17" s="276">
        <v>0</v>
      </c>
      <c r="I17" s="276">
        <v>0</v>
      </c>
      <c r="J17" s="276">
        <v>0</v>
      </c>
      <c r="K17" s="276">
        <v>0</v>
      </c>
      <c r="L17" s="276">
        <v>0</v>
      </c>
      <c r="M17" s="276">
        <v>0</v>
      </c>
      <c r="N17" s="273">
        <f t="shared" si="0"/>
        <v>0</v>
      </c>
    </row>
    <row r="18" spans="1:14" x14ac:dyDescent="0.35">
      <c r="A18" s="255">
        <v>10</v>
      </c>
      <c r="B18" s="278" t="s">
        <v>406</v>
      </c>
      <c r="C18" s="275">
        <v>0</v>
      </c>
      <c r="D18" s="276">
        <v>0</v>
      </c>
      <c r="E18" s="276">
        <v>0</v>
      </c>
      <c r="F18" s="276">
        <v>0</v>
      </c>
      <c r="G18" s="276">
        <v>0</v>
      </c>
      <c r="H18" s="276">
        <v>0</v>
      </c>
      <c r="I18" s="276">
        <v>0</v>
      </c>
      <c r="J18" s="276">
        <v>0</v>
      </c>
      <c r="K18" s="276">
        <v>0</v>
      </c>
      <c r="L18" s="276">
        <f>2357078/1000000</f>
        <v>2.357078</v>
      </c>
      <c r="M18" s="276">
        <v>0</v>
      </c>
      <c r="N18" s="273">
        <f t="shared" si="0"/>
        <v>2.357078</v>
      </c>
    </row>
    <row r="19" spans="1:14" x14ac:dyDescent="0.35">
      <c r="A19" s="255">
        <v>11</v>
      </c>
      <c r="B19" s="257" t="s">
        <v>452</v>
      </c>
      <c r="C19" s="279">
        <f t="shared" ref="C19:N19" si="1">SUM(C9:C18)</f>
        <v>0</v>
      </c>
      <c r="D19" s="279">
        <f t="shared" si="1"/>
        <v>0</v>
      </c>
      <c r="E19" s="279">
        <f t="shared" si="1"/>
        <v>0</v>
      </c>
      <c r="F19" s="279">
        <f t="shared" si="1"/>
        <v>0</v>
      </c>
      <c r="G19" s="279">
        <f t="shared" si="1"/>
        <v>551.39839600000005</v>
      </c>
      <c r="H19" s="279">
        <f t="shared" si="1"/>
        <v>166.65922800000001</v>
      </c>
      <c r="I19" s="279">
        <f t="shared" si="1"/>
        <v>0</v>
      </c>
      <c r="J19" s="279">
        <f t="shared" si="1"/>
        <v>171.55025699999999</v>
      </c>
      <c r="K19" s="279">
        <f t="shared" si="1"/>
        <v>47.647173000000002</v>
      </c>
      <c r="L19" s="279">
        <f t="shared" si="1"/>
        <v>2.357078</v>
      </c>
      <c r="M19" s="279">
        <f t="shared" si="1"/>
        <v>0</v>
      </c>
      <c r="N19" s="273">
        <f t="shared" si="1"/>
        <v>939.61213199999997</v>
      </c>
    </row>
  </sheetData>
  <mergeCells count="2">
    <mergeCell ref="B6:B8"/>
    <mergeCell ref="C6:M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BC07-4B1B-48F4-87F1-C9054E1ADCEF}">
  <dimension ref="A2:J17"/>
  <sheetViews>
    <sheetView workbookViewId="0">
      <selection activeCell="F22" sqref="F22"/>
    </sheetView>
  </sheetViews>
  <sheetFormatPr defaultRowHeight="14.5" x14ac:dyDescent="0.35"/>
  <cols>
    <col min="2" max="2" width="32.81640625" customWidth="1"/>
    <col min="3" max="3" width="10.453125" customWidth="1"/>
    <col min="4" max="4" width="12.1796875" customWidth="1"/>
    <col min="5" max="5" width="10.1796875" customWidth="1"/>
    <col min="6" max="6" width="11.81640625" customWidth="1"/>
    <col min="7" max="7" width="11.26953125" customWidth="1"/>
    <col min="8" max="8" width="11.453125" customWidth="1"/>
    <col min="9" max="9" width="11" customWidth="1"/>
    <col min="10" max="10" width="12.7265625" customWidth="1"/>
  </cols>
  <sheetData>
    <row r="2" spans="1:10" s="282" customFormat="1" ht="18.5" x14ac:dyDescent="0.45">
      <c r="A2" s="281" t="s">
        <v>453</v>
      </c>
    </row>
    <row r="3" spans="1:10" ht="21" x14ac:dyDescent="0.5">
      <c r="A3" s="260" t="s">
        <v>454</v>
      </c>
      <c r="B3" s="283"/>
      <c r="C3" s="259"/>
      <c r="D3" s="259"/>
      <c r="E3" s="259"/>
      <c r="F3" s="259"/>
      <c r="G3" s="259"/>
      <c r="H3" s="259"/>
      <c r="I3" s="259"/>
      <c r="J3" s="259"/>
    </row>
    <row r="4" spans="1:10" x14ac:dyDescent="0.35">
      <c r="A4" s="259"/>
      <c r="B4" s="259"/>
      <c r="C4" s="259"/>
      <c r="D4" s="259"/>
      <c r="E4" s="259"/>
      <c r="F4" s="259"/>
      <c r="G4" s="259"/>
      <c r="H4" s="259"/>
      <c r="I4" s="259"/>
      <c r="J4" s="259"/>
    </row>
    <row r="5" spans="1:10" x14ac:dyDescent="0.35">
      <c r="A5" s="284"/>
      <c r="B5" s="285" t="s">
        <v>62</v>
      </c>
      <c r="C5" s="286" t="s">
        <v>226</v>
      </c>
      <c r="D5" s="255" t="s">
        <v>227</v>
      </c>
      <c r="E5" s="255" t="s">
        <v>228</v>
      </c>
      <c r="F5" s="255" t="s">
        <v>275</v>
      </c>
      <c r="G5" s="255" t="s">
        <v>276</v>
      </c>
      <c r="H5" s="255" t="s">
        <v>277</v>
      </c>
      <c r="I5" s="255" t="s">
        <v>278</v>
      </c>
      <c r="J5" s="255" t="s">
        <v>279</v>
      </c>
    </row>
    <row r="6" spans="1:10" ht="40.5" customHeight="1" x14ac:dyDescent="0.35">
      <c r="A6" s="287"/>
      <c r="B6" s="288"/>
      <c r="C6" s="555" t="s">
        <v>455</v>
      </c>
      <c r="D6" s="552"/>
      <c r="E6" s="552"/>
      <c r="F6" s="552"/>
      <c r="G6" s="556" t="s">
        <v>456</v>
      </c>
      <c r="H6" s="557"/>
      <c r="I6" s="557"/>
      <c r="J6" s="555"/>
    </row>
    <row r="7" spans="1:10" ht="32.25" customHeight="1" x14ac:dyDescent="0.35">
      <c r="A7" s="289"/>
      <c r="B7" s="558" t="s">
        <v>457</v>
      </c>
      <c r="C7" s="552" t="s">
        <v>458</v>
      </c>
      <c r="D7" s="552"/>
      <c r="E7" s="552" t="s">
        <v>459</v>
      </c>
      <c r="F7" s="552"/>
      <c r="G7" s="552" t="s">
        <v>458</v>
      </c>
      <c r="H7" s="552"/>
      <c r="I7" s="552" t="s">
        <v>459</v>
      </c>
      <c r="J7" s="552"/>
    </row>
    <row r="8" spans="1:10" x14ac:dyDescent="0.35">
      <c r="A8" s="289"/>
      <c r="B8" s="559"/>
      <c r="C8" s="255" t="s">
        <v>460</v>
      </c>
      <c r="D8" s="255" t="s">
        <v>461</v>
      </c>
      <c r="E8" s="255" t="s">
        <v>460</v>
      </c>
      <c r="F8" s="255" t="s">
        <v>461</v>
      </c>
      <c r="G8" s="255" t="s">
        <v>460</v>
      </c>
      <c r="H8" s="255" t="s">
        <v>461</v>
      </c>
      <c r="I8" s="255" t="s">
        <v>460</v>
      </c>
      <c r="J8" s="255" t="s">
        <v>461</v>
      </c>
    </row>
    <row r="9" spans="1:10" x14ac:dyDescent="0.35">
      <c r="A9" s="290">
        <v>1</v>
      </c>
      <c r="B9" s="256" t="s">
        <v>462</v>
      </c>
      <c r="C9" s="255"/>
      <c r="D9" s="236">
        <v>68.482900000000001</v>
      </c>
      <c r="E9" s="236"/>
      <c r="F9" s="236">
        <v>2.2999999999999998</v>
      </c>
      <c r="G9" s="255"/>
      <c r="H9" s="255"/>
      <c r="I9" s="255"/>
      <c r="J9" s="291">
        <v>0</v>
      </c>
    </row>
    <row r="10" spans="1:10" x14ac:dyDescent="0.35">
      <c r="A10" s="290">
        <v>2</v>
      </c>
      <c r="B10" s="256" t="s">
        <v>463</v>
      </c>
      <c r="C10" s="255"/>
      <c r="D10" s="236">
        <v>170.80777633000002</v>
      </c>
      <c r="E10" s="236"/>
      <c r="F10" s="236">
        <v>4.5544365599999992</v>
      </c>
      <c r="G10" s="255"/>
      <c r="H10" s="255"/>
      <c r="I10" s="255"/>
      <c r="J10" s="291">
        <v>0</v>
      </c>
    </row>
    <row r="11" spans="1:10" x14ac:dyDescent="0.35">
      <c r="A11" s="290">
        <v>3</v>
      </c>
      <c r="B11" s="256" t="s">
        <v>464</v>
      </c>
      <c r="C11" s="255"/>
      <c r="D11" s="236" t="s">
        <v>465</v>
      </c>
      <c r="E11" s="236"/>
      <c r="F11" s="236"/>
      <c r="G11" s="255"/>
      <c r="H11" s="255"/>
      <c r="I11" s="255"/>
      <c r="J11" s="255"/>
    </row>
    <row r="12" spans="1:10" x14ac:dyDescent="0.35">
      <c r="A12" s="290">
        <v>4</v>
      </c>
      <c r="B12" s="256" t="s">
        <v>466</v>
      </c>
      <c r="C12" s="255"/>
      <c r="D12" s="236" t="s">
        <v>465</v>
      </c>
      <c r="E12" s="236"/>
      <c r="F12" s="236"/>
      <c r="G12" s="255"/>
      <c r="H12" s="255"/>
      <c r="I12" s="255"/>
      <c r="J12" s="255"/>
    </row>
    <row r="13" spans="1:10" x14ac:dyDescent="0.35">
      <c r="A13" s="290">
        <v>5</v>
      </c>
      <c r="B13" s="256" t="s">
        <v>467</v>
      </c>
      <c r="C13" s="255"/>
      <c r="D13" s="236" t="s">
        <v>468</v>
      </c>
      <c r="E13" s="236"/>
      <c r="F13" s="236"/>
      <c r="G13" s="255"/>
      <c r="H13" s="255"/>
      <c r="I13" s="255"/>
      <c r="J13" s="255"/>
    </row>
    <row r="14" spans="1:10" x14ac:dyDescent="0.35">
      <c r="A14" s="290">
        <v>6</v>
      </c>
      <c r="B14" s="256" t="s">
        <v>469</v>
      </c>
      <c r="C14" s="255"/>
      <c r="D14" s="236" t="s">
        <v>465</v>
      </c>
      <c r="E14" s="236"/>
      <c r="F14" s="236"/>
      <c r="G14" s="255"/>
      <c r="H14" s="255"/>
      <c r="I14" s="255"/>
      <c r="J14" s="255"/>
    </row>
    <row r="15" spans="1:10" x14ac:dyDescent="0.35">
      <c r="A15" s="290">
        <v>7</v>
      </c>
      <c r="B15" s="256" t="s">
        <v>470</v>
      </c>
      <c r="C15" s="255"/>
      <c r="D15" s="236" t="s">
        <v>465</v>
      </c>
      <c r="E15" s="236"/>
      <c r="F15" s="236"/>
      <c r="G15" s="255"/>
      <c r="H15" s="255"/>
      <c r="I15" s="255"/>
      <c r="J15" s="255"/>
    </row>
    <row r="16" spans="1:10" x14ac:dyDescent="0.35">
      <c r="A16" s="290">
        <v>8</v>
      </c>
      <c r="B16" s="256" t="s">
        <v>471</v>
      </c>
      <c r="C16" s="255"/>
      <c r="D16" s="236" t="s">
        <v>465</v>
      </c>
      <c r="E16" s="236"/>
      <c r="F16" s="236"/>
      <c r="G16" s="255"/>
      <c r="H16" s="255"/>
      <c r="I16" s="255"/>
      <c r="J16" s="255"/>
    </row>
    <row r="17" spans="1:10" x14ac:dyDescent="0.35">
      <c r="A17" s="292">
        <v>9</v>
      </c>
      <c r="B17" s="293" t="s">
        <v>300</v>
      </c>
      <c r="C17" s="293"/>
      <c r="D17" s="237">
        <v>239.29067633000003</v>
      </c>
      <c r="E17" s="237"/>
      <c r="F17" s="237">
        <v>6.8544365599999999</v>
      </c>
      <c r="G17" s="293"/>
      <c r="H17" s="293"/>
      <c r="I17" s="293"/>
      <c r="J17" s="293">
        <v>0</v>
      </c>
    </row>
  </sheetData>
  <mergeCells count="7">
    <mergeCell ref="C6:F6"/>
    <mergeCell ref="G6:J6"/>
    <mergeCell ref="B7:B8"/>
    <mergeCell ref="C7:D7"/>
    <mergeCell ref="E7:F7"/>
    <mergeCell ref="G7:H7"/>
    <mergeCell ref="I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E5F4-866A-412C-8DF1-42707C27195C}">
  <dimension ref="A2:I44"/>
  <sheetViews>
    <sheetView workbookViewId="0">
      <selection activeCell="C21" sqref="C21"/>
    </sheetView>
  </sheetViews>
  <sheetFormatPr defaultRowHeight="14.5" x14ac:dyDescent="0.35"/>
  <cols>
    <col min="2" max="2" width="65.26953125" customWidth="1"/>
    <col min="3" max="4" width="20.1796875" customWidth="1"/>
  </cols>
  <sheetData>
    <row r="2" spans="1:9" s="160" customFormat="1" ht="21" x14ac:dyDescent="0.5">
      <c r="A2" s="280" t="s">
        <v>472</v>
      </c>
    </row>
    <row r="3" spans="1:9" s="160" customFormat="1" ht="15.5" x14ac:dyDescent="0.35">
      <c r="A3" s="308" t="s">
        <v>416</v>
      </c>
    </row>
    <row r="4" spans="1:9" x14ac:dyDescent="0.35">
      <c r="A4" s="294"/>
      <c r="B4" s="295"/>
      <c r="C4" s="294"/>
      <c r="D4" s="294"/>
    </row>
    <row r="5" spans="1:9" x14ac:dyDescent="0.35">
      <c r="A5" s="297"/>
      <c r="B5" s="298" t="s">
        <v>62</v>
      </c>
      <c r="C5" s="235" t="s">
        <v>226</v>
      </c>
      <c r="D5" s="235" t="s">
        <v>227</v>
      </c>
    </row>
    <row r="6" spans="1:9" ht="26" x14ac:dyDescent="0.35">
      <c r="A6" s="299"/>
      <c r="B6" s="300"/>
      <c r="C6" s="235" t="s">
        <v>441</v>
      </c>
      <c r="D6" s="235" t="s">
        <v>290</v>
      </c>
    </row>
    <row r="7" spans="1:9" x14ac:dyDescent="0.35">
      <c r="A7" s="301">
        <v>1</v>
      </c>
      <c r="B7" s="257" t="s">
        <v>473</v>
      </c>
      <c r="C7" s="302"/>
      <c r="D7" s="303">
        <v>14.326933859999999</v>
      </c>
      <c r="E7" s="296"/>
      <c r="F7" s="296"/>
      <c r="H7" s="296"/>
      <c r="I7" s="296"/>
    </row>
    <row r="8" spans="1:9" ht="26" x14ac:dyDescent="0.35">
      <c r="A8" s="235">
        <v>2</v>
      </c>
      <c r="B8" s="256" t="s">
        <v>474</v>
      </c>
      <c r="C8" s="303">
        <v>1.0555587200000001</v>
      </c>
      <c r="D8" s="303">
        <v>0.52777936000000003</v>
      </c>
      <c r="E8" s="296"/>
      <c r="F8" s="296"/>
      <c r="H8" s="296"/>
      <c r="I8" s="296"/>
    </row>
    <row r="9" spans="1:9" x14ac:dyDescent="0.35">
      <c r="A9" s="235">
        <v>3</v>
      </c>
      <c r="B9" s="256" t="s">
        <v>475</v>
      </c>
      <c r="C9" s="303"/>
      <c r="D9" s="303"/>
      <c r="E9" s="296"/>
      <c r="F9" s="296"/>
      <c r="H9" s="296"/>
      <c r="I9" s="296"/>
    </row>
    <row r="10" spans="1:9" x14ac:dyDescent="0.35">
      <c r="A10" s="235">
        <v>4</v>
      </c>
      <c r="B10" s="256" t="s">
        <v>476</v>
      </c>
      <c r="C10" s="303">
        <v>1.0555587200000001</v>
      </c>
      <c r="D10" s="303">
        <v>0.52777936000000003</v>
      </c>
      <c r="E10" s="296"/>
      <c r="F10" s="296"/>
      <c r="H10" s="296"/>
      <c r="I10" s="296"/>
    </row>
    <row r="11" spans="1:9" x14ac:dyDescent="0.35">
      <c r="A11" s="235">
        <v>5</v>
      </c>
      <c r="B11" s="256" t="s">
        <v>477</v>
      </c>
      <c r="C11" s="303"/>
      <c r="D11" s="303"/>
      <c r="E11" s="296"/>
      <c r="F11" s="296"/>
      <c r="H11" s="296"/>
      <c r="I11" s="296"/>
    </row>
    <row r="12" spans="1:9" x14ac:dyDescent="0.35">
      <c r="A12" s="235">
        <v>6</v>
      </c>
      <c r="B12" s="256" t="s">
        <v>478</v>
      </c>
      <c r="C12" s="303"/>
      <c r="D12" s="303"/>
      <c r="E12" s="296"/>
      <c r="F12" s="296"/>
      <c r="H12" s="296"/>
      <c r="I12" s="296"/>
    </row>
    <row r="13" spans="1:9" x14ac:dyDescent="0.35">
      <c r="A13" s="235">
        <v>7</v>
      </c>
      <c r="B13" s="256" t="s">
        <v>479</v>
      </c>
      <c r="C13" s="303"/>
      <c r="D13" s="302"/>
      <c r="E13" s="296"/>
      <c r="F13" s="296"/>
      <c r="H13" s="296"/>
      <c r="I13" s="296"/>
    </row>
    <row r="14" spans="1:9" x14ac:dyDescent="0.35">
      <c r="A14" s="235">
        <v>8</v>
      </c>
      <c r="B14" s="256" t="s">
        <v>480</v>
      </c>
      <c r="C14" s="303">
        <v>27.598309</v>
      </c>
      <c r="D14" s="303">
        <v>13.7991545</v>
      </c>
      <c r="E14" s="296"/>
      <c r="F14" s="296"/>
      <c r="H14" s="296"/>
      <c r="I14" s="296"/>
    </row>
    <row r="15" spans="1:9" x14ac:dyDescent="0.35">
      <c r="A15" s="235">
        <v>9</v>
      </c>
      <c r="B15" s="256" t="s">
        <v>481</v>
      </c>
      <c r="C15" s="304"/>
      <c r="D15" s="304"/>
    </row>
    <row r="16" spans="1:9" x14ac:dyDescent="0.35">
      <c r="A16" s="235">
        <v>10</v>
      </c>
      <c r="B16" s="256" t="s">
        <v>482</v>
      </c>
      <c r="C16" s="304"/>
      <c r="D16" s="304"/>
    </row>
    <row r="17" spans="1:4" x14ac:dyDescent="0.35">
      <c r="A17" s="305">
        <v>11</v>
      </c>
      <c r="B17" s="306" t="s">
        <v>483</v>
      </c>
      <c r="C17" s="307"/>
      <c r="D17" s="304"/>
    </row>
    <row r="18" spans="1:4" ht="26" x14ac:dyDescent="0.35">
      <c r="A18" s="235">
        <v>12</v>
      </c>
      <c r="B18" s="256" t="s">
        <v>484</v>
      </c>
      <c r="C18" s="304"/>
      <c r="D18" s="304"/>
    </row>
    <row r="19" spans="1:4" x14ac:dyDescent="0.35">
      <c r="A19" s="235">
        <v>13</v>
      </c>
      <c r="B19" s="256" t="s">
        <v>475</v>
      </c>
      <c r="C19" s="304"/>
      <c r="D19" s="304"/>
    </row>
    <row r="20" spans="1:4" x14ac:dyDescent="0.35">
      <c r="A20" s="235">
        <v>14</v>
      </c>
      <c r="B20" s="256" t="s">
        <v>476</v>
      </c>
      <c r="C20" s="304"/>
      <c r="D20" s="304"/>
    </row>
    <row r="21" spans="1:4" x14ac:dyDescent="0.35">
      <c r="A21" s="235">
        <v>15</v>
      </c>
      <c r="B21" s="256" t="s">
        <v>477</v>
      </c>
      <c r="C21" s="304"/>
      <c r="D21" s="304"/>
    </row>
    <row r="22" spans="1:4" x14ac:dyDescent="0.35">
      <c r="A22" s="235">
        <v>16</v>
      </c>
      <c r="B22" s="256" t="s">
        <v>478</v>
      </c>
      <c r="C22" s="304"/>
      <c r="D22" s="304"/>
    </row>
    <row r="23" spans="1:4" x14ac:dyDescent="0.35">
      <c r="A23" s="235">
        <v>17</v>
      </c>
      <c r="B23" s="256" t="s">
        <v>479</v>
      </c>
      <c r="C23" s="304"/>
      <c r="D23" s="307"/>
    </row>
    <row r="24" spans="1:4" x14ac:dyDescent="0.35">
      <c r="A24" s="235">
        <v>18</v>
      </c>
      <c r="B24" s="256" t="s">
        <v>480</v>
      </c>
      <c r="C24" s="304"/>
      <c r="D24" s="304"/>
    </row>
    <row r="25" spans="1:4" x14ac:dyDescent="0.35">
      <c r="A25" s="235">
        <v>19</v>
      </c>
      <c r="B25" s="256" t="s">
        <v>481</v>
      </c>
      <c r="C25" s="304"/>
      <c r="D25" s="304"/>
    </row>
    <row r="26" spans="1:4" x14ac:dyDescent="0.35">
      <c r="A26" s="235">
        <v>20</v>
      </c>
      <c r="B26" s="256" t="s">
        <v>482</v>
      </c>
      <c r="C26" s="304"/>
      <c r="D26" s="304"/>
    </row>
    <row r="27" spans="1:4" x14ac:dyDescent="0.35">
      <c r="A27" s="259"/>
      <c r="B27" s="259"/>
      <c r="C27" s="259"/>
      <c r="D27" s="259"/>
    </row>
    <row r="28" spans="1:4" x14ac:dyDescent="0.35">
      <c r="A28" s="259"/>
      <c r="B28" s="259"/>
      <c r="C28" s="259"/>
      <c r="D28" s="259"/>
    </row>
    <row r="29" spans="1:4" x14ac:dyDescent="0.35">
      <c r="A29" s="259"/>
      <c r="B29" s="259"/>
      <c r="C29" s="259"/>
      <c r="D29" s="259"/>
    </row>
    <row r="30" spans="1:4" x14ac:dyDescent="0.35">
      <c r="A30" s="259"/>
      <c r="B30" s="259"/>
      <c r="C30" s="259"/>
      <c r="D30" s="259"/>
    </row>
    <row r="31" spans="1:4" x14ac:dyDescent="0.35">
      <c r="A31" s="259"/>
      <c r="B31" s="259"/>
      <c r="C31" s="259"/>
      <c r="D31" s="259"/>
    </row>
    <row r="32" spans="1:4" x14ac:dyDescent="0.35">
      <c r="A32" s="259"/>
      <c r="B32" s="259"/>
      <c r="C32" s="259"/>
      <c r="D32" s="259"/>
    </row>
    <row r="33" spans="1:4" x14ac:dyDescent="0.35">
      <c r="A33" s="259"/>
      <c r="B33" s="259"/>
      <c r="C33" s="259"/>
      <c r="D33" s="259"/>
    </row>
    <row r="34" spans="1:4" x14ac:dyDescent="0.35">
      <c r="A34" s="259"/>
      <c r="B34" s="259"/>
      <c r="C34" s="259"/>
      <c r="D34" s="259"/>
    </row>
    <row r="35" spans="1:4" x14ac:dyDescent="0.35">
      <c r="A35" s="259"/>
      <c r="B35" s="259"/>
      <c r="C35" s="259"/>
      <c r="D35" s="259"/>
    </row>
    <row r="36" spans="1:4" x14ac:dyDescent="0.35">
      <c r="A36" s="259"/>
      <c r="B36" s="259"/>
      <c r="C36" s="259"/>
      <c r="D36" s="259"/>
    </row>
    <row r="37" spans="1:4" x14ac:dyDescent="0.35">
      <c r="A37" s="259"/>
      <c r="B37" s="259"/>
      <c r="C37" s="259"/>
      <c r="D37" s="259"/>
    </row>
    <row r="38" spans="1:4" x14ac:dyDescent="0.35">
      <c r="A38" s="259"/>
      <c r="B38" s="259"/>
      <c r="C38" s="259"/>
      <c r="D38" s="259"/>
    </row>
    <row r="39" spans="1:4" x14ac:dyDescent="0.35">
      <c r="A39" s="259"/>
      <c r="B39" s="259"/>
      <c r="C39" s="259"/>
      <c r="D39" s="259"/>
    </row>
    <row r="40" spans="1:4" x14ac:dyDescent="0.35">
      <c r="A40" s="259"/>
      <c r="B40" s="259"/>
      <c r="C40" s="259"/>
      <c r="D40" s="259"/>
    </row>
    <row r="41" spans="1:4" x14ac:dyDescent="0.35">
      <c r="A41" s="259"/>
      <c r="B41" s="259"/>
      <c r="C41" s="259"/>
      <c r="D41" s="259"/>
    </row>
    <row r="42" spans="1:4" x14ac:dyDescent="0.35">
      <c r="A42" s="259"/>
      <c r="B42" s="259"/>
      <c r="C42" s="259"/>
      <c r="D42" s="259"/>
    </row>
    <row r="43" spans="1:4" x14ac:dyDescent="0.35">
      <c r="A43" s="259"/>
      <c r="B43" s="259"/>
      <c r="C43" s="259"/>
      <c r="D43" s="259"/>
    </row>
    <row r="44" spans="1:4" x14ac:dyDescent="0.35">
      <c r="A44" s="259"/>
      <c r="B44" s="259"/>
      <c r="C44" s="259"/>
      <c r="D44" s="25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7CA2-CD16-4791-AADE-24DF0AC997A5}">
  <dimension ref="A2:C16"/>
  <sheetViews>
    <sheetView workbookViewId="0">
      <selection activeCell="C23" sqref="C23"/>
    </sheetView>
  </sheetViews>
  <sheetFormatPr defaultRowHeight="14.5" x14ac:dyDescent="0.35"/>
  <cols>
    <col min="1" max="1" width="5.453125" customWidth="1"/>
    <col min="2" max="3" width="38.453125" customWidth="1"/>
  </cols>
  <sheetData>
    <row r="2" spans="1:3" ht="18.5" x14ac:dyDescent="0.35">
      <c r="A2" s="363" t="s">
        <v>485</v>
      </c>
      <c r="B2" s="361"/>
      <c r="C2" s="362"/>
    </row>
    <row r="3" spans="1:3" ht="15.5" x14ac:dyDescent="0.35">
      <c r="A3" s="361"/>
      <c r="B3" s="361"/>
      <c r="C3" s="362"/>
    </row>
    <row r="4" spans="1:3" x14ac:dyDescent="0.35">
      <c r="A4" s="364"/>
      <c r="B4" s="365" t="s">
        <v>62</v>
      </c>
      <c r="C4" s="366" t="s">
        <v>226</v>
      </c>
    </row>
    <row r="5" spans="1:3" x14ac:dyDescent="0.35">
      <c r="A5" s="367"/>
      <c r="B5" s="368"/>
      <c r="C5" s="369" t="s">
        <v>486</v>
      </c>
    </row>
    <row r="6" spans="1:3" x14ac:dyDescent="0.35">
      <c r="A6" s="367"/>
      <c r="B6" s="370" t="s">
        <v>487</v>
      </c>
      <c r="C6" s="371"/>
    </row>
    <row r="7" spans="1:3" x14ac:dyDescent="0.35">
      <c r="A7" s="372">
        <v>1</v>
      </c>
      <c r="B7" s="373" t="s">
        <v>488</v>
      </c>
      <c r="C7" s="374">
        <v>6516.6799362222973</v>
      </c>
    </row>
    <row r="8" spans="1:3" x14ac:dyDescent="0.35">
      <c r="A8" s="372">
        <v>2</v>
      </c>
      <c r="B8" s="373" t="s">
        <v>489</v>
      </c>
      <c r="C8" s="374">
        <v>704.38680103999968</v>
      </c>
    </row>
    <row r="9" spans="1:3" x14ac:dyDescent="0.35">
      <c r="A9" s="372">
        <v>3</v>
      </c>
      <c r="B9" s="373" t="s">
        <v>490</v>
      </c>
      <c r="C9" s="374">
        <v>122.1942164500001</v>
      </c>
    </row>
    <row r="10" spans="1:3" x14ac:dyDescent="0.35">
      <c r="A10" s="372">
        <v>4</v>
      </c>
      <c r="B10" s="373" t="s">
        <v>491</v>
      </c>
      <c r="C10" s="374">
        <v>0</v>
      </c>
    </row>
    <row r="11" spans="1:3" x14ac:dyDescent="0.35">
      <c r="A11" s="372"/>
      <c r="B11" s="375" t="s">
        <v>492</v>
      </c>
      <c r="C11" s="376"/>
    </row>
    <row r="12" spans="1:3" x14ac:dyDescent="0.35">
      <c r="A12" s="372">
        <v>5</v>
      </c>
      <c r="B12" s="377" t="s">
        <v>493</v>
      </c>
      <c r="C12" s="374">
        <v>0</v>
      </c>
    </row>
    <row r="13" spans="1:3" x14ac:dyDescent="0.35">
      <c r="A13" s="372">
        <v>6</v>
      </c>
      <c r="B13" s="377" t="s">
        <v>494</v>
      </c>
      <c r="C13" s="374">
        <v>3.0242754048898477</v>
      </c>
    </row>
    <row r="14" spans="1:3" x14ac:dyDescent="0.35">
      <c r="A14" s="372">
        <v>7</v>
      </c>
      <c r="B14" s="377" t="s">
        <v>495</v>
      </c>
      <c r="C14" s="374">
        <v>0</v>
      </c>
    </row>
    <row r="15" spans="1:3" x14ac:dyDescent="0.35">
      <c r="A15" s="372">
        <v>8</v>
      </c>
      <c r="B15" s="368" t="s">
        <v>496</v>
      </c>
      <c r="C15" s="374">
        <v>0</v>
      </c>
    </row>
    <row r="16" spans="1:3" x14ac:dyDescent="0.35">
      <c r="A16" s="372">
        <v>9</v>
      </c>
      <c r="B16" s="375" t="s">
        <v>300</v>
      </c>
      <c r="C16" s="374">
        <f>SUM(C7:C15)</f>
        <v>7346.2852291171866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88D1-4ADA-4D1C-B4DA-E5112DB77075}">
  <dimension ref="A2:F14"/>
  <sheetViews>
    <sheetView workbookViewId="0">
      <selection activeCell="C14" sqref="C14"/>
    </sheetView>
  </sheetViews>
  <sheetFormatPr defaultRowHeight="14.5" x14ac:dyDescent="0.35"/>
  <cols>
    <col min="2" max="2" width="26.26953125" customWidth="1"/>
    <col min="3" max="3" width="19.7265625" customWidth="1"/>
    <col min="4" max="4" width="18.26953125" customWidth="1"/>
    <col min="5" max="5" width="20" customWidth="1"/>
    <col min="6" max="6" width="19.453125" customWidth="1"/>
  </cols>
  <sheetData>
    <row r="2" spans="1:6" ht="18.5" x14ac:dyDescent="0.35">
      <c r="A2" s="378" t="s">
        <v>497</v>
      </c>
      <c r="B2" s="379"/>
      <c r="C2" s="380"/>
      <c r="D2" s="379"/>
      <c r="E2" s="379"/>
      <c r="F2" s="379"/>
    </row>
    <row r="3" spans="1:6" x14ac:dyDescent="0.35">
      <c r="A3" s="379"/>
      <c r="B3" s="379"/>
      <c r="C3" s="379"/>
      <c r="D3" s="379"/>
      <c r="E3" s="379"/>
      <c r="F3" s="379"/>
    </row>
    <row r="4" spans="1:6" x14ac:dyDescent="0.35">
      <c r="B4" s="379"/>
      <c r="C4" s="379"/>
      <c r="D4" s="379"/>
      <c r="E4" s="379"/>
      <c r="F4" s="379"/>
    </row>
    <row r="5" spans="1:6" x14ac:dyDescent="0.35">
      <c r="B5" s="379"/>
      <c r="C5" s="379"/>
      <c r="D5" s="379"/>
      <c r="E5" s="379"/>
      <c r="F5" s="379"/>
    </row>
    <row r="6" spans="1:6" x14ac:dyDescent="0.35">
      <c r="A6" s="560" t="s">
        <v>498</v>
      </c>
      <c r="B6" s="561"/>
      <c r="C6" s="381" t="s">
        <v>226</v>
      </c>
      <c r="D6" s="381" t="s">
        <v>227</v>
      </c>
      <c r="E6" s="381" t="s">
        <v>228</v>
      </c>
      <c r="F6" s="381" t="s">
        <v>275</v>
      </c>
    </row>
    <row r="7" spans="1:6" ht="33" customHeight="1" x14ac:dyDescent="0.35">
      <c r="A7" s="562"/>
      <c r="B7" s="563"/>
      <c r="C7" s="566" t="s">
        <v>499</v>
      </c>
      <c r="D7" s="567"/>
      <c r="E7" s="566" t="s">
        <v>500</v>
      </c>
      <c r="F7" s="567"/>
    </row>
    <row r="8" spans="1:6" x14ac:dyDescent="0.35">
      <c r="A8" s="564"/>
      <c r="B8" s="565"/>
      <c r="C8" s="382" t="s">
        <v>501</v>
      </c>
      <c r="D8" s="382" t="s">
        <v>502</v>
      </c>
      <c r="E8" s="382" t="s">
        <v>501</v>
      </c>
      <c r="F8" s="382" t="s">
        <v>502</v>
      </c>
    </row>
    <row r="9" spans="1:6" x14ac:dyDescent="0.35">
      <c r="A9" s="382">
        <v>1</v>
      </c>
      <c r="B9" s="383" t="s">
        <v>503</v>
      </c>
      <c r="C9" s="384">
        <v>-37.171851760080621</v>
      </c>
      <c r="D9" s="384">
        <v>-8.9210114228346136</v>
      </c>
      <c r="E9" s="382">
        <v>224</v>
      </c>
      <c r="F9" s="382">
        <v>187</v>
      </c>
    </row>
    <row r="10" spans="1:6" x14ac:dyDescent="0.35">
      <c r="A10" s="382">
        <v>2</v>
      </c>
      <c r="B10" s="385" t="s">
        <v>504</v>
      </c>
      <c r="C10" s="384">
        <v>32.893361866978147</v>
      </c>
      <c r="D10" s="384">
        <v>1.567432848911543</v>
      </c>
      <c r="E10" s="382">
        <f>-E9</f>
        <v>-224</v>
      </c>
      <c r="F10" s="382">
        <f>-F9</f>
        <v>-187</v>
      </c>
    </row>
    <row r="11" spans="1:6" x14ac:dyDescent="0.35">
      <c r="A11" s="382">
        <v>3</v>
      </c>
      <c r="B11" s="383" t="s">
        <v>505</v>
      </c>
      <c r="C11" s="384">
        <v>4.0536450764841057</v>
      </c>
      <c r="D11" s="384">
        <v>-15.386624087197934</v>
      </c>
      <c r="E11" s="386"/>
      <c r="F11" s="386"/>
    </row>
    <row r="12" spans="1:6" x14ac:dyDescent="0.35">
      <c r="A12" s="382">
        <v>4</v>
      </c>
      <c r="B12" s="383" t="s">
        <v>506</v>
      </c>
      <c r="C12" s="384">
        <v>-14.572963726225684</v>
      </c>
      <c r="D12" s="384">
        <v>9.3584437381189254</v>
      </c>
      <c r="E12" s="386"/>
      <c r="F12" s="386"/>
    </row>
    <row r="13" spans="1:6" x14ac:dyDescent="0.35">
      <c r="A13" s="382">
        <v>5</v>
      </c>
      <c r="B13" s="383" t="s">
        <v>507</v>
      </c>
      <c r="C13" s="384">
        <v>-26.357080019488453</v>
      </c>
      <c r="D13" s="384">
        <v>5.4260821069790506</v>
      </c>
      <c r="E13" s="386"/>
      <c r="F13" s="386"/>
    </row>
    <row r="14" spans="1:6" x14ac:dyDescent="0.35">
      <c r="A14" s="387">
        <v>6</v>
      </c>
      <c r="B14" s="383" t="s">
        <v>508</v>
      </c>
      <c r="C14" s="384">
        <v>21.309967469205304</v>
      </c>
      <c r="D14" s="384">
        <v>-2.9733202634945366</v>
      </c>
      <c r="E14" s="386"/>
      <c r="F14" s="386"/>
    </row>
  </sheetData>
  <mergeCells count="3">
    <mergeCell ref="A6:B8"/>
    <mergeCell ref="C7:D7"/>
    <mergeCell ref="E7:F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0039-232E-49BC-BF25-7AF99B47E22A}">
  <dimension ref="A1:I28"/>
  <sheetViews>
    <sheetView tabSelected="1" workbookViewId="0">
      <selection sqref="A1:E1"/>
    </sheetView>
  </sheetViews>
  <sheetFormatPr defaultRowHeight="14.5" x14ac:dyDescent="0.35"/>
  <cols>
    <col min="1" max="1" width="87.54296875" customWidth="1"/>
    <col min="2" max="2" width="12.453125" customWidth="1"/>
    <col min="3" max="3" width="13.453125" customWidth="1"/>
    <col min="4" max="4" width="13.54296875" customWidth="1"/>
    <col min="5" max="5" width="13.26953125" customWidth="1"/>
  </cols>
  <sheetData>
    <row r="1" spans="1:9" ht="55.5" customHeight="1" x14ac:dyDescent="0.45">
      <c r="A1" s="488" t="s">
        <v>59</v>
      </c>
      <c r="B1" s="488"/>
      <c r="C1" s="488"/>
      <c r="D1" s="488"/>
      <c r="E1" s="488"/>
    </row>
    <row r="2" spans="1:9" ht="38.5" customHeight="1" x14ac:dyDescent="0.35">
      <c r="A2" s="462"/>
      <c r="B2" s="462"/>
      <c r="C2" s="463"/>
      <c r="D2" s="462"/>
      <c r="E2" s="462"/>
    </row>
    <row r="3" spans="1:9" x14ac:dyDescent="0.35">
      <c r="A3" s="492"/>
      <c r="B3" s="493" t="s">
        <v>60</v>
      </c>
      <c r="C3" s="493"/>
      <c r="D3" s="493" t="s">
        <v>61</v>
      </c>
      <c r="E3" s="493"/>
    </row>
    <row r="4" spans="1:9" x14ac:dyDescent="0.35">
      <c r="A4" s="492"/>
      <c r="B4" s="465" t="s">
        <v>62</v>
      </c>
      <c r="C4" s="465" t="s">
        <v>63</v>
      </c>
      <c r="D4" s="465" t="s">
        <v>62</v>
      </c>
      <c r="E4" s="465" t="s">
        <v>63</v>
      </c>
      <c r="I4" s="464"/>
    </row>
    <row r="5" spans="1:9" x14ac:dyDescent="0.35">
      <c r="A5" s="466" t="s">
        <v>64</v>
      </c>
      <c r="B5" s="467">
        <v>4383.30942624</v>
      </c>
      <c r="C5" s="468">
        <v>6.9639637713540314E-2</v>
      </c>
      <c r="D5" s="467">
        <v>3110.6401200800001</v>
      </c>
      <c r="E5" s="468">
        <v>7.1989843235700193E-2</v>
      </c>
    </row>
    <row r="6" spans="1:9" x14ac:dyDescent="0.35">
      <c r="A6" s="466" t="s">
        <v>65</v>
      </c>
      <c r="B6" s="467">
        <v>1223.0028183200002</v>
      </c>
      <c r="C6" s="468">
        <v>1.9430404041428099E-2</v>
      </c>
      <c r="D6" s="467">
        <v>894.72860407999997</v>
      </c>
      <c r="E6" s="468">
        <v>2.0706790068842653E-2</v>
      </c>
    </row>
    <row r="7" spans="1:9" x14ac:dyDescent="0.35">
      <c r="A7" s="466" t="s">
        <v>66</v>
      </c>
      <c r="B7" s="467">
        <v>663.80674399999998</v>
      </c>
      <c r="C7" s="468">
        <v>1.0546200751248017E-2</v>
      </c>
      <c r="D7" s="467">
        <v>382.28570704000003</v>
      </c>
      <c r="E7" s="468">
        <v>8.8472748561960399E-3</v>
      </c>
    </row>
    <row r="8" spans="1:9" x14ac:dyDescent="0.35">
      <c r="A8" s="466" t="s">
        <v>67</v>
      </c>
      <c r="B8" s="467">
        <v>18.2</v>
      </c>
      <c r="C8" s="468">
        <v>2.8915170779390863E-4</v>
      </c>
      <c r="D8" s="467">
        <v>38.9</v>
      </c>
      <c r="E8" s="468">
        <v>9.00266438342188E-4</v>
      </c>
      <c r="I8" s="464"/>
    </row>
    <row r="9" spans="1:9" x14ac:dyDescent="0.35">
      <c r="A9" s="469" t="s">
        <v>68</v>
      </c>
      <c r="B9" s="470">
        <f>SUM(B5:B8)</f>
        <v>6288.3189885599995</v>
      </c>
      <c r="C9" s="471">
        <f>SUM(C5:C8)</f>
        <v>9.9905394214010332E-2</v>
      </c>
      <c r="D9" s="470">
        <f>SUM(D5:D8)</f>
        <v>4426.5544312000002</v>
      </c>
      <c r="E9" s="471">
        <f>SUM(E5:E8)</f>
        <v>0.10244417459908108</v>
      </c>
    </row>
    <row r="10" spans="1:9" x14ac:dyDescent="0.35">
      <c r="A10" s="466" t="s">
        <v>69</v>
      </c>
      <c r="B10" s="472">
        <v>0</v>
      </c>
      <c r="C10" s="473">
        <v>0</v>
      </c>
      <c r="D10" s="472">
        <v>0</v>
      </c>
      <c r="E10" s="473">
        <v>0</v>
      </c>
    </row>
    <row r="11" spans="1:9" ht="15.5" x14ac:dyDescent="0.35">
      <c r="A11" s="474"/>
      <c r="B11" s="475"/>
      <c r="C11" s="476"/>
      <c r="D11" s="475"/>
      <c r="E11" s="476"/>
    </row>
    <row r="12" spans="1:9" x14ac:dyDescent="0.35">
      <c r="A12" s="469" t="s">
        <v>70</v>
      </c>
      <c r="B12" s="470">
        <f>MAX(B9,I4)</f>
        <v>6288.3189885599995</v>
      </c>
      <c r="C12" s="471">
        <v>9.9905394214010332E-2</v>
      </c>
      <c r="D12" s="470">
        <f>MAX(D9,I8)</f>
        <v>4426.5544312000002</v>
      </c>
      <c r="E12" s="471">
        <v>0.10244417459908108</v>
      </c>
    </row>
    <row r="13" spans="1:9" x14ac:dyDescent="0.35">
      <c r="A13" s="466" t="s">
        <v>71</v>
      </c>
      <c r="B13" s="467">
        <v>9143.969771</v>
      </c>
      <c r="C13" s="477">
        <v>0.14527442171980909</v>
      </c>
      <c r="D13" s="467">
        <v>9208.479969</v>
      </c>
      <c r="E13" s="477">
        <v>0.21311273686984605</v>
      </c>
    </row>
    <row r="14" spans="1:9" x14ac:dyDescent="0.35">
      <c r="A14" s="466" t="s">
        <v>72</v>
      </c>
      <c r="B14" s="467">
        <v>9846.5109740000007</v>
      </c>
      <c r="C14" s="477">
        <v>0.15643601450239356</v>
      </c>
      <c r="D14" s="467">
        <v>9637.479969</v>
      </c>
      <c r="E14" s="477">
        <v>0.2230411250973216</v>
      </c>
    </row>
    <row r="15" spans="1:9" x14ac:dyDescent="0.35">
      <c r="A15" s="466" t="s">
        <v>73</v>
      </c>
      <c r="B15" s="467">
        <v>11230.407438</v>
      </c>
      <c r="C15" s="477">
        <v>0.17842260933621507</v>
      </c>
      <c r="D15" s="467">
        <v>10537.479969</v>
      </c>
      <c r="E15" s="477">
        <v>0.24386991158852903</v>
      </c>
    </row>
    <row r="16" spans="1:9" x14ac:dyDescent="0.35">
      <c r="A16" s="469" t="s">
        <v>74</v>
      </c>
      <c r="B16" s="469"/>
      <c r="C16" s="469"/>
      <c r="D16" s="469"/>
      <c r="E16" s="469"/>
    </row>
    <row r="17" spans="1:5" x14ac:dyDescent="0.35">
      <c r="A17" s="494" t="s">
        <v>75</v>
      </c>
      <c r="B17" s="494"/>
      <c r="C17" s="494"/>
      <c r="D17" s="494"/>
      <c r="E17" s="494"/>
    </row>
    <row r="18" spans="1:5" ht="59.15" customHeight="1" x14ac:dyDescent="0.35">
      <c r="A18" s="495" t="s">
        <v>76</v>
      </c>
      <c r="B18" s="495"/>
      <c r="C18" s="495"/>
      <c r="D18" s="495"/>
      <c r="E18" s="495"/>
    </row>
    <row r="19" spans="1:5" ht="26.5" customHeight="1" x14ac:dyDescent="0.35">
      <c r="A19" s="495" t="s">
        <v>77</v>
      </c>
      <c r="B19" s="495"/>
      <c r="C19" s="495"/>
      <c r="D19" s="495"/>
      <c r="E19" s="495"/>
    </row>
    <row r="20" spans="1:5" ht="29.15" customHeight="1" x14ac:dyDescent="0.35">
      <c r="A20" s="497" t="s">
        <v>78</v>
      </c>
      <c r="B20" s="497"/>
      <c r="C20" s="497"/>
      <c r="D20" s="497"/>
      <c r="E20" s="497"/>
    </row>
    <row r="21" spans="1:5" x14ac:dyDescent="0.35">
      <c r="A21" s="489" t="s">
        <v>79</v>
      </c>
      <c r="B21" s="489"/>
      <c r="C21" s="489"/>
      <c r="D21" s="489"/>
      <c r="E21" s="489"/>
    </row>
    <row r="22" spans="1:5" ht="131.5" customHeight="1" x14ac:dyDescent="0.35">
      <c r="A22" s="496" t="s">
        <v>80</v>
      </c>
      <c r="B22" s="496"/>
      <c r="C22" s="496"/>
      <c r="D22" s="496"/>
      <c r="E22" s="496"/>
    </row>
    <row r="23" spans="1:5" x14ac:dyDescent="0.35">
      <c r="A23" s="489" t="s">
        <v>81</v>
      </c>
      <c r="B23" s="489"/>
      <c r="C23" s="489"/>
      <c r="D23" s="489"/>
      <c r="E23" s="489"/>
    </row>
    <row r="24" spans="1:5" ht="90.65" customHeight="1" x14ac:dyDescent="0.35">
      <c r="A24" s="490" t="s">
        <v>82</v>
      </c>
      <c r="B24" s="490"/>
      <c r="C24" s="490"/>
      <c r="D24" s="490"/>
      <c r="E24" s="490"/>
    </row>
    <row r="25" spans="1:5" x14ac:dyDescent="0.35">
      <c r="A25" s="489" t="s">
        <v>83</v>
      </c>
      <c r="B25" s="489"/>
      <c r="C25" s="489"/>
      <c r="D25" s="489"/>
      <c r="E25" s="489"/>
    </row>
    <row r="26" spans="1:5" ht="51" customHeight="1" x14ac:dyDescent="0.35">
      <c r="A26" s="491" t="s">
        <v>84</v>
      </c>
      <c r="B26" s="491"/>
      <c r="C26" s="491"/>
      <c r="D26" s="491"/>
      <c r="E26" s="491"/>
    </row>
    <row r="27" spans="1:5" x14ac:dyDescent="0.35">
      <c r="A27" s="489" t="s">
        <v>85</v>
      </c>
      <c r="B27" s="489"/>
      <c r="C27" s="489"/>
      <c r="D27" s="489"/>
      <c r="E27" s="489"/>
    </row>
    <row r="28" spans="1:5" ht="43.5" customHeight="1" x14ac:dyDescent="0.35">
      <c r="A28" s="495" t="s">
        <v>86</v>
      </c>
      <c r="B28" s="495"/>
      <c r="C28" s="495"/>
      <c r="D28" s="495"/>
      <c r="E28" s="495"/>
    </row>
  </sheetData>
  <mergeCells count="16">
    <mergeCell ref="A27:E27"/>
    <mergeCell ref="A28:E28"/>
    <mergeCell ref="A22:E22"/>
    <mergeCell ref="A20:E20"/>
    <mergeCell ref="A21:E21"/>
    <mergeCell ref="A1:E1"/>
    <mergeCell ref="A23:E23"/>
    <mergeCell ref="A24:E24"/>
    <mergeCell ref="A25:E25"/>
    <mergeCell ref="A26:E26"/>
    <mergeCell ref="A3:A4"/>
    <mergeCell ref="B3:C3"/>
    <mergeCell ref="D3:E3"/>
    <mergeCell ref="A17:E17"/>
    <mergeCell ref="A18:E18"/>
    <mergeCell ref="A19:E1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96EC-F161-4497-A392-A1DCF9E7F039}">
  <dimension ref="A2:J44"/>
  <sheetViews>
    <sheetView workbookViewId="0">
      <selection activeCell="A2" sqref="A2"/>
    </sheetView>
  </sheetViews>
  <sheetFormatPr defaultRowHeight="14.5" x14ac:dyDescent="0.35"/>
  <cols>
    <col min="1" max="1" width="12.81640625" customWidth="1"/>
    <col min="2" max="2" width="74.1796875" customWidth="1"/>
    <col min="3" max="3" width="13.7265625" style="388" customWidth="1"/>
    <col min="4" max="4" width="13.54296875" style="388" customWidth="1"/>
    <col min="5" max="5" width="12.54296875" style="388" customWidth="1"/>
    <col min="6" max="6" width="11.1796875" style="388" customWidth="1"/>
    <col min="7" max="7" width="12.54296875" style="388" customWidth="1"/>
    <col min="10" max="10" width="13.54296875" bestFit="1" customWidth="1"/>
  </cols>
  <sheetData>
    <row r="2" spans="1:10" ht="18.5" x14ac:dyDescent="0.35">
      <c r="A2" s="363" t="s">
        <v>509</v>
      </c>
    </row>
    <row r="3" spans="1:10" ht="15.5" x14ac:dyDescent="0.35">
      <c r="A3" s="389" t="s">
        <v>510</v>
      </c>
    </row>
    <row r="4" spans="1:10" ht="15" thickBot="1" x14ac:dyDescent="0.4">
      <c r="A4" s="390"/>
      <c r="B4" s="390"/>
      <c r="C4" s="391"/>
      <c r="D4" s="391"/>
      <c r="E4" s="391"/>
      <c r="F4" s="391"/>
      <c r="G4" s="391"/>
    </row>
    <row r="5" spans="1:10" ht="15" thickBot="1" x14ac:dyDescent="0.4">
      <c r="A5" s="568"/>
      <c r="B5" s="569"/>
      <c r="C5" s="392" t="s">
        <v>226</v>
      </c>
      <c r="D5" s="392" t="s">
        <v>227</v>
      </c>
      <c r="E5" s="393" t="s">
        <v>228</v>
      </c>
      <c r="F5" s="394" t="s">
        <v>275</v>
      </c>
      <c r="G5" s="395" t="s">
        <v>276</v>
      </c>
    </row>
    <row r="6" spans="1:10" ht="15" thickBot="1" x14ac:dyDescent="0.4">
      <c r="A6" s="570" t="s">
        <v>62</v>
      </c>
      <c r="B6" s="571"/>
      <c r="C6" s="574" t="s">
        <v>511</v>
      </c>
      <c r="D6" s="575"/>
      <c r="E6" s="575"/>
      <c r="F6" s="576"/>
      <c r="G6" s="577" t="s">
        <v>512</v>
      </c>
    </row>
    <row r="7" spans="1:10" ht="29.5" thickBot="1" x14ac:dyDescent="0.4">
      <c r="A7" s="572"/>
      <c r="B7" s="573"/>
      <c r="C7" s="396" t="s">
        <v>513</v>
      </c>
      <c r="D7" s="396" t="s">
        <v>514</v>
      </c>
      <c r="E7" s="396" t="s">
        <v>515</v>
      </c>
      <c r="F7" s="397" t="s">
        <v>516</v>
      </c>
      <c r="G7" s="578"/>
    </row>
    <row r="8" spans="1:10" ht="15" thickBot="1" x14ac:dyDescent="0.4">
      <c r="A8" s="398" t="s">
        <v>517</v>
      </c>
      <c r="B8" s="399"/>
      <c r="C8" s="400"/>
      <c r="D8" s="401"/>
      <c r="E8" s="400"/>
      <c r="F8" s="400"/>
      <c r="G8" s="402"/>
      <c r="J8" s="388"/>
    </row>
    <row r="9" spans="1:10" ht="15" thickBot="1" x14ac:dyDescent="0.4">
      <c r="A9" s="403">
        <v>1</v>
      </c>
      <c r="B9" s="404" t="s">
        <v>518</v>
      </c>
      <c r="C9" s="405"/>
      <c r="D9" s="406" t="s">
        <v>519</v>
      </c>
      <c r="E9" s="407" t="s">
        <v>519</v>
      </c>
      <c r="F9" s="408">
        <v>11873</v>
      </c>
      <c r="G9" s="409">
        <v>11873</v>
      </c>
    </row>
    <row r="10" spans="1:10" ht="15" thickBot="1" x14ac:dyDescent="0.4">
      <c r="A10" s="410">
        <v>2</v>
      </c>
      <c r="B10" s="411" t="s">
        <v>520</v>
      </c>
      <c r="C10" s="412"/>
      <c r="D10" s="412" t="s">
        <v>519</v>
      </c>
      <c r="E10" s="413" t="s">
        <v>519</v>
      </c>
      <c r="F10" s="414">
        <v>11524</v>
      </c>
      <c r="G10" s="415">
        <v>11524</v>
      </c>
    </row>
    <row r="11" spans="1:10" ht="15" thickBot="1" x14ac:dyDescent="0.4">
      <c r="A11" s="410">
        <v>3</v>
      </c>
      <c r="B11" s="411" t="s">
        <v>521</v>
      </c>
      <c r="C11" s="416"/>
      <c r="D11" s="412" t="s">
        <v>519</v>
      </c>
      <c r="E11" s="413" t="s">
        <v>519</v>
      </c>
      <c r="F11" s="414">
        <v>348</v>
      </c>
      <c r="G11" s="415">
        <v>348</v>
      </c>
    </row>
    <row r="12" spans="1:10" ht="15" thickBot="1" x14ac:dyDescent="0.4">
      <c r="A12" s="417">
        <v>4</v>
      </c>
      <c r="B12" s="404" t="s">
        <v>522</v>
      </c>
      <c r="C12" s="416"/>
      <c r="D12" s="406">
        <v>77898</v>
      </c>
      <c r="E12" s="407">
        <v>10</v>
      </c>
      <c r="F12" s="418">
        <v>241</v>
      </c>
      <c r="G12" s="419">
        <v>73457</v>
      </c>
    </row>
    <row r="13" spans="1:10" ht="15" thickBot="1" x14ac:dyDescent="0.4">
      <c r="A13" s="410">
        <v>5</v>
      </c>
      <c r="B13" s="411" t="s">
        <v>523</v>
      </c>
      <c r="C13" s="416"/>
      <c r="D13" s="420">
        <v>61959</v>
      </c>
      <c r="E13" s="421">
        <v>4</v>
      </c>
      <c r="F13" s="414">
        <v>36</v>
      </c>
      <c r="G13" s="415">
        <v>58901</v>
      </c>
    </row>
    <row r="14" spans="1:10" ht="15" thickBot="1" x14ac:dyDescent="0.4">
      <c r="A14" s="410">
        <v>6</v>
      </c>
      <c r="B14" s="411" t="s">
        <v>524</v>
      </c>
      <c r="C14" s="416"/>
      <c r="D14" s="420">
        <v>15939</v>
      </c>
      <c r="E14" s="421">
        <v>6</v>
      </c>
      <c r="F14" s="414">
        <v>205</v>
      </c>
      <c r="G14" s="415">
        <v>14556</v>
      </c>
    </row>
    <row r="15" spans="1:10" ht="15" thickBot="1" x14ac:dyDescent="0.4">
      <c r="A15" s="417">
        <v>7</v>
      </c>
      <c r="B15" s="404" t="s">
        <v>525</v>
      </c>
      <c r="C15" s="416"/>
      <c r="D15" s="406">
        <v>10852</v>
      </c>
      <c r="E15" s="407" t="s">
        <v>519</v>
      </c>
      <c r="F15" s="418" t="s">
        <v>519</v>
      </c>
      <c r="G15" s="419">
        <v>4606</v>
      </c>
    </row>
    <row r="16" spans="1:10" ht="15" thickBot="1" x14ac:dyDescent="0.4">
      <c r="A16" s="410">
        <v>8</v>
      </c>
      <c r="B16" s="411" t="s">
        <v>526</v>
      </c>
      <c r="C16" s="416"/>
      <c r="D16" s="422" t="s">
        <v>519</v>
      </c>
      <c r="E16" s="421" t="s">
        <v>519</v>
      </c>
      <c r="F16" s="414" t="s">
        <v>519</v>
      </c>
      <c r="G16" s="415" t="s">
        <v>519</v>
      </c>
    </row>
    <row r="17" spans="1:7" ht="15" thickBot="1" x14ac:dyDescent="0.4">
      <c r="A17" s="410">
        <v>9</v>
      </c>
      <c r="B17" s="423" t="s">
        <v>527</v>
      </c>
      <c r="C17" s="416"/>
      <c r="D17" s="420">
        <v>10852</v>
      </c>
      <c r="E17" s="421" t="s">
        <v>519</v>
      </c>
      <c r="F17" s="414" t="s">
        <v>519</v>
      </c>
      <c r="G17" s="415">
        <v>4606</v>
      </c>
    </row>
    <row r="18" spans="1:7" ht="15" thickBot="1" x14ac:dyDescent="0.4">
      <c r="A18" s="417">
        <v>10</v>
      </c>
      <c r="B18" s="404" t="s">
        <v>528</v>
      </c>
      <c r="C18" s="416"/>
      <c r="D18" s="406" t="s">
        <v>519</v>
      </c>
      <c r="E18" s="407" t="s">
        <v>519</v>
      </c>
      <c r="F18" s="418" t="s">
        <v>519</v>
      </c>
      <c r="G18" s="419" t="s">
        <v>519</v>
      </c>
    </row>
    <row r="19" spans="1:7" ht="15" thickBot="1" x14ac:dyDescent="0.4">
      <c r="A19" s="417">
        <v>11</v>
      </c>
      <c r="B19" s="404" t="s">
        <v>529</v>
      </c>
      <c r="C19" s="406"/>
      <c r="D19" s="406">
        <v>8114</v>
      </c>
      <c r="E19" s="407" t="s">
        <v>519</v>
      </c>
      <c r="F19" s="418" t="s">
        <v>519</v>
      </c>
      <c r="G19" s="419" t="s">
        <v>519</v>
      </c>
    </row>
    <row r="20" spans="1:7" ht="15" thickBot="1" x14ac:dyDescent="0.4">
      <c r="A20" s="410">
        <v>12</v>
      </c>
      <c r="B20" s="411" t="s">
        <v>530</v>
      </c>
      <c r="C20" s="420" t="s">
        <v>519</v>
      </c>
      <c r="D20" s="416"/>
      <c r="E20" s="424"/>
      <c r="F20" s="425"/>
      <c r="G20" s="426"/>
    </row>
    <row r="21" spans="1:7" ht="15" thickBot="1" x14ac:dyDescent="0.4">
      <c r="A21" s="410">
        <v>13</v>
      </c>
      <c r="B21" s="411" t="s">
        <v>531</v>
      </c>
      <c r="C21" s="416"/>
      <c r="D21" s="420">
        <v>8114</v>
      </c>
      <c r="E21" s="421" t="s">
        <v>519</v>
      </c>
      <c r="F21" s="414" t="s">
        <v>519</v>
      </c>
      <c r="G21" s="415" t="s">
        <v>519</v>
      </c>
    </row>
    <row r="22" spans="1:7" ht="15" thickBot="1" x14ac:dyDescent="0.4">
      <c r="A22" s="427">
        <v>14</v>
      </c>
      <c r="B22" s="428" t="s">
        <v>532</v>
      </c>
      <c r="C22" s="429"/>
      <c r="D22" s="429"/>
      <c r="E22" s="430"/>
      <c r="F22" s="431"/>
      <c r="G22" s="432">
        <v>89936</v>
      </c>
    </row>
    <row r="23" spans="1:7" ht="15" thickBot="1" x14ac:dyDescent="0.4">
      <c r="A23" s="579" t="s">
        <v>533</v>
      </c>
      <c r="B23" s="580"/>
      <c r="C23" s="580"/>
      <c r="D23" s="580"/>
      <c r="E23" s="580"/>
      <c r="F23" s="580"/>
      <c r="G23" s="581"/>
    </row>
    <row r="24" spans="1:7" ht="15" thickBot="1" x14ac:dyDescent="0.4">
      <c r="A24" s="417">
        <v>15</v>
      </c>
      <c r="B24" s="404" t="s">
        <v>534</v>
      </c>
      <c r="C24" s="433"/>
      <c r="D24" s="434"/>
      <c r="E24" s="435"/>
      <c r="F24" s="436"/>
      <c r="G24" s="437">
        <v>1739</v>
      </c>
    </row>
    <row r="25" spans="1:7" ht="15" thickBot="1" x14ac:dyDescent="0.4">
      <c r="A25" s="417" t="s">
        <v>535</v>
      </c>
      <c r="B25" s="404" t="s">
        <v>536</v>
      </c>
      <c r="C25" s="438"/>
      <c r="D25" s="406" t="s">
        <v>519</v>
      </c>
      <c r="E25" s="407">
        <v>0</v>
      </c>
      <c r="F25" s="439">
        <v>0</v>
      </c>
      <c r="G25" s="419">
        <v>0</v>
      </c>
    </row>
    <row r="26" spans="1:7" ht="15" thickBot="1" x14ac:dyDescent="0.4">
      <c r="A26" s="417">
        <v>16</v>
      </c>
      <c r="B26" s="404" t="s">
        <v>537</v>
      </c>
      <c r="C26" s="433"/>
      <c r="D26" s="406" t="s">
        <v>519</v>
      </c>
      <c r="E26" s="407">
        <v>0</v>
      </c>
      <c r="F26" s="439">
        <v>0</v>
      </c>
      <c r="G26" s="419">
        <v>0</v>
      </c>
    </row>
    <row r="27" spans="1:7" ht="15" thickBot="1" x14ac:dyDescent="0.4">
      <c r="A27" s="417">
        <v>17</v>
      </c>
      <c r="B27" s="404" t="s">
        <v>538</v>
      </c>
      <c r="C27" s="433"/>
      <c r="D27" s="406">
        <v>2649</v>
      </c>
      <c r="E27" s="407">
        <v>1843</v>
      </c>
      <c r="F27" s="439">
        <v>43014</v>
      </c>
      <c r="G27" s="419">
        <v>39122</v>
      </c>
    </row>
    <row r="28" spans="1:7" ht="44" thickBot="1" x14ac:dyDescent="0.4">
      <c r="A28" s="410">
        <v>18</v>
      </c>
      <c r="B28" s="440" t="s">
        <v>539</v>
      </c>
      <c r="C28" s="433"/>
      <c r="D28" s="420" t="s">
        <v>519</v>
      </c>
      <c r="E28" s="421" t="s">
        <v>519</v>
      </c>
      <c r="F28" s="441" t="s">
        <v>519</v>
      </c>
      <c r="G28" s="415" t="s">
        <v>519</v>
      </c>
    </row>
    <row r="29" spans="1:7" ht="29.5" thickBot="1" x14ac:dyDescent="0.4">
      <c r="A29" s="410">
        <v>19</v>
      </c>
      <c r="B29" s="411" t="s">
        <v>540</v>
      </c>
      <c r="C29" s="433"/>
      <c r="D29" s="420">
        <v>727</v>
      </c>
      <c r="E29" s="421">
        <v>100</v>
      </c>
      <c r="F29" s="441">
        <v>7663</v>
      </c>
      <c r="G29" s="415">
        <v>7780</v>
      </c>
    </row>
    <row r="30" spans="1:7" ht="29.5" thickBot="1" x14ac:dyDescent="0.4">
      <c r="A30" s="410">
        <v>20</v>
      </c>
      <c r="B30" s="411" t="s">
        <v>541</v>
      </c>
      <c r="C30" s="433"/>
      <c r="D30" s="420">
        <v>1438</v>
      </c>
      <c r="E30" s="421">
        <v>909</v>
      </c>
      <c r="F30" s="441">
        <v>26416</v>
      </c>
      <c r="G30" s="415">
        <v>26124</v>
      </c>
    </row>
    <row r="31" spans="1:7" ht="29.5" thickBot="1" x14ac:dyDescent="0.4">
      <c r="A31" s="410">
        <v>21</v>
      </c>
      <c r="B31" s="442" t="s">
        <v>542</v>
      </c>
      <c r="C31" s="433"/>
      <c r="D31" s="420">
        <v>6</v>
      </c>
      <c r="E31" s="421">
        <v>6</v>
      </c>
      <c r="F31" s="441">
        <v>389</v>
      </c>
      <c r="G31" s="415">
        <v>2823</v>
      </c>
    </row>
    <row r="32" spans="1:7" ht="15" thickBot="1" x14ac:dyDescent="0.4">
      <c r="A32" s="410">
        <v>22</v>
      </c>
      <c r="B32" s="411" t="s">
        <v>543</v>
      </c>
      <c r="C32" s="433"/>
      <c r="D32" s="420">
        <v>98</v>
      </c>
      <c r="E32" s="421">
        <v>99</v>
      </c>
      <c r="F32" s="441">
        <v>3807</v>
      </c>
      <c r="G32" s="415" t="s">
        <v>519</v>
      </c>
    </row>
    <row r="33" spans="1:7" ht="29.5" thickBot="1" x14ac:dyDescent="0.4">
      <c r="A33" s="410">
        <v>23</v>
      </c>
      <c r="B33" s="442" t="s">
        <v>542</v>
      </c>
      <c r="C33" s="433"/>
      <c r="D33" s="420">
        <v>98</v>
      </c>
      <c r="E33" s="421">
        <v>98</v>
      </c>
      <c r="F33" s="441">
        <v>3794</v>
      </c>
      <c r="G33" s="415" t="s">
        <v>519</v>
      </c>
    </row>
    <row r="34" spans="1:7" ht="44" thickBot="1" x14ac:dyDescent="0.4">
      <c r="A34" s="410">
        <v>24</v>
      </c>
      <c r="B34" s="411" t="s">
        <v>544</v>
      </c>
      <c r="C34" s="433"/>
      <c r="D34" s="420">
        <v>386</v>
      </c>
      <c r="E34" s="421">
        <v>735</v>
      </c>
      <c r="F34" s="441">
        <v>5129</v>
      </c>
      <c r="G34" s="415">
        <v>5218</v>
      </c>
    </row>
    <row r="35" spans="1:7" ht="15" thickBot="1" x14ac:dyDescent="0.4">
      <c r="A35" s="417">
        <v>25</v>
      </c>
      <c r="B35" s="404" t="s">
        <v>545</v>
      </c>
      <c r="C35" s="433"/>
      <c r="D35" s="406" t="s">
        <v>519</v>
      </c>
      <c r="E35" s="407" t="s">
        <v>519</v>
      </c>
      <c r="F35" s="439" t="s">
        <v>519</v>
      </c>
      <c r="G35" s="419" t="s">
        <v>519</v>
      </c>
    </row>
    <row r="36" spans="1:7" ht="15" thickBot="1" x14ac:dyDescent="0.4">
      <c r="A36" s="417">
        <v>26</v>
      </c>
      <c r="B36" s="404" t="s">
        <v>546</v>
      </c>
      <c r="C36" s="406" t="s">
        <v>519</v>
      </c>
      <c r="D36" s="443">
        <v>4514</v>
      </c>
      <c r="E36" s="444">
        <v>112</v>
      </c>
      <c r="F36" s="445">
        <v>23134</v>
      </c>
      <c r="G36" s="446">
        <v>23599</v>
      </c>
    </row>
    <row r="37" spans="1:7" ht="15" thickBot="1" x14ac:dyDescent="0.4">
      <c r="A37" s="410">
        <v>27</v>
      </c>
      <c r="B37" s="411" t="s">
        <v>547</v>
      </c>
      <c r="C37" s="433"/>
      <c r="D37" s="433"/>
      <c r="E37" s="447"/>
      <c r="F37" s="397" t="s">
        <v>519</v>
      </c>
      <c r="G37" s="448" t="s">
        <v>519</v>
      </c>
    </row>
    <row r="38" spans="1:7" ht="29.5" thickBot="1" x14ac:dyDescent="0.4">
      <c r="A38" s="410">
        <v>28</v>
      </c>
      <c r="B38" s="411" t="s">
        <v>548</v>
      </c>
      <c r="C38" s="433"/>
      <c r="D38" s="420">
        <v>28</v>
      </c>
      <c r="E38" s="449"/>
      <c r="F38" s="450"/>
      <c r="G38" s="415">
        <v>28</v>
      </c>
    </row>
    <row r="39" spans="1:7" ht="15" thickBot="1" x14ac:dyDescent="0.4">
      <c r="A39" s="410">
        <v>29</v>
      </c>
      <c r="B39" s="411" t="s">
        <v>549</v>
      </c>
      <c r="C39" s="451"/>
      <c r="D39" s="420">
        <v>39</v>
      </c>
      <c r="E39" s="452"/>
      <c r="F39" s="452"/>
      <c r="G39" s="415">
        <v>39</v>
      </c>
    </row>
    <row r="40" spans="1:7" ht="15" thickBot="1" x14ac:dyDescent="0.4">
      <c r="A40" s="410">
        <v>30</v>
      </c>
      <c r="B40" s="411" t="s">
        <v>550</v>
      </c>
      <c r="C40" s="433"/>
      <c r="D40" s="420">
        <v>10</v>
      </c>
      <c r="E40" s="433"/>
      <c r="F40" s="433"/>
      <c r="G40" s="415">
        <v>1</v>
      </c>
    </row>
    <row r="41" spans="1:7" ht="15" thickBot="1" x14ac:dyDescent="0.4">
      <c r="A41" s="410">
        <v>31</v>
      </c>
      <c r="B41" s="411" t="s">
        <v>551</v>
      </c>
      <c r="C41" s="433"/>
      <c r="D41" s="453">
        <v>4437</v>
      </c>
      <c r="E41" s="454">
        <v>112</v>
      </c>
      <c r="F41" s="441">
        <v>23134</v>
      </c>
      <c r="G41" s="415">
        <v>23533</v>
      </c>
    </row>
    <row r="42" spans="1:7" ht="15" thickBot="1" x14ac:dyDescent="0.4">
      <c r="A42" s="417">
        <v>32</v>
      </c>
      <c r="B42" s="404" t="s">
        <v>552</v>
      </c>
      <c r="C42" s="433"/>
      <c r="D42" s="455">
        <v>21566</v>
      </c>
      <c r="E42" s="456" t="s">
        <v>519</v>
      </c>
      <c r="F42" s="457" t="s">
        <v>519</v>
      </c>
      <c r="G42" s="458">
        <v>1078</v>
      </c>
    </row>
    <row r="43" spans="1:7" ht="15" thickBot="1" x14ac:dyDescent="0.4">
      <c r="A43" s="427">
        <v>33</v>
      </c>
      <c r="B43" s="428" t="s">
        <v>553</v>
      </c>
      <c r="C43" s="429"/>
      <c r="D43" s="429"/>
      <c r="E43" s="430"/>
      <c r="F43" s="459"/>
      <c r="G43" s="432">
        <v>65538</v>
      </c>
    </row>
    <row r="44" spans="1:7" ht="15" thickBot="1" x14ac:dyDescent="0.4">
      <c r="A44" s="427">
        <v>34</v>
      </c>
      <c r="B44" s="460" t="s">
        <v>554</v>
      </c>
      <c r="C44" s="429"/>
      <c r="D44" s="429"/>
      <c r="E44" s="430"/>
      <c r="F44" s="430"/>
      <c r="G44" s="461">
        <v>1.3723000000000001</v>
      </c>
    </row>
  </sheetData>
  <mergeCells count="5">
    <mergeCell ref="A5:B5"/>
    <mergeCell ref="A6:B7"/>
    <mergeCell ref="C6:F6"/>
    <mergeCell ref="G6:G7"/>
    <mergeCell ref="A23:G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1B21-98A4-4ACD-9333-C1BE9F2E8C4D}">
  <dimension ref="A2:C21"/>
  <sheetViews>
    <sheetView workbookViewId="0">
      <selection activeCell="B17" sqref="A17:B17"/>
    </sheetView>
  </sheetViews>
  <sheetFormatPr defaultRowHeight="14.5" x14ac:dyDescent="0.35"/>
  <cols>
    <col min="1" max="1" width="5.54296875" customWidth="1"/>
    <col min="2" max="2" width="69" customWidth="1"/>
    <col min="3" max="3" width="21.453125" customWidth="1"/>
  </cols>
  <sheetData>
    <row r="2" spans="1:3" ht="18.5" x14ac:dyDescent="0.45">
      <c r="A2" s="309" t="s">
        <v>555</v>
      </c>
      <c r="B2" s="310"/>
      <c r="C2" s="310"/>
    </row>
    <row r="3" spans="1:3" ht="18.5" x14ac:dyDescent="0.35">
      <c r="A3" s="310"/>
      <c r="B3" s="310"/>
      <c r="C3" s="310"/>
    </row>
    <row r="5" spans="1:3" x14ac:dyDescent="0.35">
      <c r="A5" s="4"/>
      <c r="B5" s="4"/>
      <c r="C5" s="200" t="s">
        <v>226</v>
      </c>
    </row>
    <row r="6" spans="1:3" x14ac:dyDescent="0.35">
      <c r="A6" s="4"/>
      <c r="B6" s="82" t="s">
        <v>62</v>
      </c>
      <c r="C6" s="199" t="s">
        <v>556</v>
      </c>
    </row>
    <row r="7" spans="1:3" x14ac:dyDescent="0.35">
      <c r="A7" s="311">
        <v>1</v>
      </c>
      <c r="B7" s="312" t="s">
        <v>557</v>
      </c>
      <c r="C7" s="313">
        <f>105880088674.8/1000000</f>
        <v>105880.0886748</v>
      </c>
    </row>
    <row r="8" spans="1:3" ht="29" x14ac:dyDescent="0.35">
      <c r="A8" s="40">
        <v>2</v>
      </c>
      <c r="B8" s="312" t="s">
        <v>558</v>
      </c>
      <c r="C8" s="314"/>
    </row>
    <row r="9" spans="1:3" ht="29" x14ac:dyDescent="0.35">
      <c r="A9" s="40">
        <v>3</v>
      </c>
      <c r="B9" s="312" t="s">
        <v>559</v>
      </c>
      <c r="C9" s="315" t="s">
        <v>519</v>
      </c>
    </row>
    <row r="10" spans="1:3" ht="29" x14ac:dyDescent="0.35">
      <c r="A10" s="40">
        <v>4</v>
      </c>
      <c r="B10" s="188" t="s">
        <v>560</v>
      </c>
      <c r="C10" s="315" t="s">
        <v>519</v>
      </c>
    </row>
    <row r="11" spans="1:3" ht="43.5" x14ac:dyDescent="0.35">
      <c r="A11" s="40">
        <v>5</v>
      </c>
      <c r="B11" s="316" t="s">
        <v>561</v>
      </c>
      <c r="C11" s="315" t="s">
        <v>519</v>
      </c>
    </row>
    <row r="12" spans="1:3" ht="29" x14ac:dyDescent="0.35">
      <c r="A12" s="40">
        <v>6</v>
      </c>
      <c r="B12" s="312" t="s">
        <v>562</v>
      </c>
      <c r="C12" s="317" t="s">
        <v>519</v>
      </c>
    </row>
    <row r="13" spans="1:3" x14ac:dyDescent="0.35">
      <c r="A13" s="40">
        <v>7</v>
      </c>
      <c r="B13" s="312" t="s">
        <v>563</v>
      </c>
      <c r="C13" s="318" t="s">
        <v>519</v>
      </c>
    </row>
    <row r="14" spans="1:3" x14ac:dyDescent="0.35">
      <c r="A14" s="40">
        <v>8</v>
      </c>
      <c r="B14" s="312" t="s">
        <v>564</v>
      </c>
      <c r="C14" s="315">
        <f>545854144.83/1000000</f>
        <v>545.85414483</v>
      </c>
    </row>
    <row r="15" spans="1:3" x14ac:dyDescent="0.35">
      <c r="A15" s="40">
        <v>9</v>
      </c>
      <c r="B15" s="312" t="s">
        <v>565</v>
      </c>
      <c r="C15" s="315">
        <f>-3955647.61/1000000</f>
        <v>-3.9556476099999998</v>
      </c>
    </row>
    <row r="16" spans="1:3" ht="29" x14ac:dyDescent="0.35">
      <c r="A16" s="40">
        <v>10</v>
      </c>
      <c r="B16" s="312" t="s">
        <v>566</v>
      </c>
      <c r="C16" s="315">
        <f>19530758786.99/1000000</f>
        <v>19530.758786990002</v>
      </c>
    </row>
    <row r="17" spans="1:3" ht="29" x14ac:dyDescent="0.35">
      <c r="A17" s="40">
        <v>11</v>
      </c>
      <c r="B17" s="316" t="s">
        <v>567</v>
      </c>
      <c r="C17" s="319" t="s">
        <v>519</v>
      </c>
    </row>
    <row r="18" spans="1:3" ht="29" x14ac:dyDescent="0.35">
      <c r="A18" s="40" t="s">
        <v>568</v>
      </c>
      <c r="B18" s="316" t="s">
        <v>569</v>
      </c>
      <c r="C18" s="320" t="s">
        <v>519</v>
      </c>
    </row>
    <row r="19" spans="1:3" ht="29" x14ac:dyDescent="0.35">
      <c r="A19" s="40" t="s">
        <v>570</v>
      </c>
      <c r="B19" s="316" t="s">
        <v>571</v>
      </c>
      <c r="C19" s="320" t="s">
        <v>519</v>
      </c>
    </row>
    <row r="20" spans="1:3" x14ac:dyDescent="0.35">
      <c r="A20" s="40">
        <v>12</v>
      </c>
      <c r="B20" s="312" t="s">
        <v>572</v>
      </c>
      <c r="C20" s="315">
        <f>-1468464089.69/1000000</f>
        <v>-1468.46408969</v>
      </c>
    </row>
    <row r="21" spans="1:3" x14ac:dyDescent="0.35">
      <c r="A21" s="40">
        <v>13</v>
      </c>
      <c r="B21" s="321" t="s">
        <v>573</v>
      </c>
      <c r="C21" s="322">
        <f>SUM(C7:C20)</f>
        <v>124484.28186932001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5327-E684-419A-A57F-B8A45B2B7692}">
  <dimension ref="A2:F72"/>
  <sheetViews>
    <sheetView workbookViewId="0">
      <selection activeCell="B17" sqref="A17:B17"/>
    </sheetView>
  </sheetViews>
  <sheetFormatPr defaultRowHeight="14.5" x14ac:dyDescent="0.35"/>
  <cols>
    <col min="2" max="2" width="102.81640625" customWidth="1"/>
    <col min="3" max="3" width="18.26953125" customWidth="1"/>
    <col min="4" max="4" width="17.26953125" customWidth="1"/>
  </cols>
  <sheetData>
    <row r="2" spans="1:4" ht="18.5" x14ac:dyDescent="0.45">
      <c r="A2" s="309" t="s">
        <v>574</v>
      </c>
    </row>
    <row r="3" spans="1:4" x14ac:dyDescent="0.35">
      <c r="A3" s="323"/>
    </row>
    <row r="4" spans="1:4" x14ac:dyDescent="0.35">
      <c r="A4" s="324"/>
      <c r="B4" s="119"/>
      <c r="C4" s="591" t="s">
        <v>575</v>
      </c>
      <c r="D4" s="591"/>
    </row>
    <row r="5" spans="1:4" x14ac:dyDescent="0.35">
      <c r="A5" s="592" t="s">
        <v>62</v>
      </c>
      <c r="B5" s="593"/>
      <c r="C5" s="124" t="s">
        <v>226</v>
      </c>
      <c r="D5" s="124" t="s">
        <v>227</v>
      </c>
    </row>
    <row r="6" spans="1:4" x14ac:dyDescent="0.35">
      <c r="A6" s="594"/>
      <c r="B6" s="595"/>
      <c r="C6" s="124" t="s">
        <v>576</v>
      </c>
      <c r="D6" s="124">
        <v>2021</v>
      </c>
    </row>
    <row r="7" spans="1:4" x14ac:dyDescent="0.35">
      <c r="A7" s="588" t="s">
        <v>577</v>
      </c>
      <c r="B7" s="589"/>
      <c r="C7" s="589"/>
      <c r="D7" s="590"/>
    </row>
    <row r="8" spans="1:4" x14ac:dyDescent="0.35">
      <c r="A8" s="124">
        <v>1</v>
      </c>
      <c r="B8" s="316" t="s">
        <v>578</v>
      </c>
      <c r="C8" s="325">
        <f>105685511498.81/1000000</f>
        <v>105685.51149881</v>
      </c>
      <c r="D8" s="326">
        <v>107306.2</v>
      </c>
    </row>
    <row r="9" spans="1:4" ht="29" x14ac:dyDescent="0.35">
      <c r="A9" s="327">
        <v>2</v>
      </c>
      <c r="B9" s="316" t="s">
        <v>579</v>
      </c>
      <c r="C9" s="328" t="s">
        <v>519</v>
      </c>
      <c r="D9" s="328" t="s">
        <v>519</v>
      </c>
    </row>
    <row r="10" spans="1:4" x14ac:dyDescent="0.35">
      <c r="A10" s="327">
        <v>3</v>
      </c>
      <c r="B10" s="316" t="s">
        <v>580</v>
      </c>
      <c r="C10" s="328" t="s">
        <v>519</v>
      </c>
      <c r="D10" s="328" t="s">
        <v>519</v>
      </c>
    </row>
    <row r="11" spans="1:4" x14ac:dyDescent="0.35">
      <c r="A11" s="327">
        <v>4</v>
      </c>
      <c r="B11" s="316" t="s">
        <v>581</v>
      </c>
      <c r="C11" s="328" t="s">
        <v>519</v>
      </c>
      <c r="D11" s="328" t="s">
        <v>519</v>
      </c>
    </row>
    <row r="12" spans="1:4" x14ac:dyDescent="0.35">
      <c r="A12" s="327">
        <v>5</v>
      </c>
      <c r="B12" s="329" t="s">
        <v>582</v>
      </c>
      <c r="C12" s="330" t="s">
        <v>519</v>
      </c>
      <c r="D12" s="328" t="s">
        <v>519</v>
      </c>
    </row>
    <row r="13" spans="1:4" ht="14.5" customHeight="1" x14ac:dyDescent="0.35">
      <c r="A13" s="124">
        <v>6</v>
      </c>
      <c r="B13" s="316" t="s">
        <v>583</v>
      </c>
      <c r="C13" s="325">
        <f>-1378053418.26/1000000</f>
        <v>-1378.0534182599999</v>
      </c>
      <c r="D13" s="326">
        <v>-797.5</v>
      </c>
    </row>
    <row r="14" spans="1:4" x14ac:dyDescent="0.35">
      <c r="A14" s="331">
        <v>7</v>
      </c>
      <c r="B14" s="332" t="s">
        <v>584</v>
      </c>
      <c r="C14" s="333">
        <f>+SUM(C8:C13)</f>
        <v>104307.45808055</v>
      </c>
      <c r="D14" s="333">
        <f>+SUM(D8:D13)</f>
        <v>106508.7</v>
      </c>
    </row>
    <row r="15" spans="1:4" x14ac:dyDescent="0.35">
      <c r="A15" s="588" t="s">
        <v>585</v>
      </c>
      <c r="B15" s="589"/>
      <c r="C15" s="589"/>
      <c r="D15" s="590"/>
    </row>
    <row r="16" spans="1:4" ht="29" x14ac:dyDescent="0.35">
      <c r="A16" s="5">
        <v>8</v>
      </c>
      <c r="B16" s="334" t="s">
        <v>586</v>
      </c>
      <c r="C16" s="320">
        <f>135447471.01/1000000</f>
        <v>135.44747100999999</v>
      </c>
      <c r="D16" s="326">
        <v>159.30000000000001</v>
      </c>
    </row>
    <row r="17" spans="1:6" x14ac:dyDescent="0.35">
      <c r="A17" s="5" t="s">
        <v>587</v>
      </c>
      <c r="B17" s="335" t="s">
        <v>588</v>
      </c>
      <c r="C17" s="336" t="s">
        <v>519</v>
      </c>
      <c r="D17" s="325" t="s">
        <v>519</v>
      </c>
    </row>
    <row r="18" spans="1:6" ht="29" x14ac:dyDescent="0.35">
      <c r="A18" s="5">
        <v>9</v>
      </c>
      <c r="B18" s="316" t="s">
        <v>589</v>
      </c>
      <c r="C18" s="320">
        <f>504237930.54/1000000</f>
        <v>504.23793054000004</v>
      </c>
      <c r="D18" s="326">
        <v>398.4</v>
      </c>
    </row>
    <row r="19" spans="1:6" x14ac:dyDescent="0.35">
      <c r="A19" s="5" t="s">
        <v>590</v>
      </c>
      <c r="B19" s="337" t="s">
        <v>591</v>
      </c>
      <c r="C19" s="336" t="s">
        <v>519</v>
      </c>
      <c r="D19" s="328" t="s">
        <v>519</v>
      </c>
    </row>
    <row r="20" spans="1:6" x14ac:dyDescent="0.35">
      <c r="A20" s="5" t="s">
        <v>592</v>
      </c>
      <c r="B20" s="337" t="s">
        <v>593</v>
      </c>
      <c r="C20" s="336" t="s">
        <v>519</v>
      </c>
      <c r="D20" s="328" t="s">
        <v>519</v>
      </c>
    </row>
    <row r="21" spans="1:6" x14ac:dyDescent="0.35">
      <c r="A21" s="338">
        <v>10</v>
      </c>
      <c r="B21" s="339" t="s">
        <v>594</v>
      </c>
      <c r="C21" s="328" t="s">
        <v>519</v>
      </c>
      <c r="D21" s="328" t="s">
        <v>519</v>
      </c>
    </row>
    <row r="22" spans="1:6" x14ac:dyDescent="0.35">
      <c r="A22" s="338" t="s">
        <v>595</v>
      </c>
      <c r="B22" s="340" t="s">
        <v>596</v>
      </c>
      <c r="C22" s="328" t="s">
        <v>519</v>
      </c>
      <c r="D22" s="328" t="s">
        <v>519</v>
      </c>
    </row>
    <row r="23" spans="1:6" x14ac:dyDescent="0.35">
      <c r="A23" s="338" t="s">
        <v>597</v>
      </c>
      <c r="B23" s="341" t="s">
        <v>598</v>
      </c>
      <c r="C23" s="328" t="s">
        <v>519</v>
      </c>
      <c r="D23" s="328" t="s">
        <v>519</v>
      </c>
    </row>
    <row r="24" spans="1:6" x14ac:dyDescent="0.35">
      <c r="A24" s="5">
        <v>11</v>
      </c>
      <c r="B24" s="316" t="s">
        <v>599</v>
      </c>
      <c r="C24" s="328" t="s">
        <v>519</v>
      </c>
      <c r="D24" s="328" t="s">
        <v>519</v>
      </c>
    </row>
    <row r="25" spans="1:6" x14ac:dyDescent="0.35">
      <c r="A25" s="5">
        <v>12</v>
      </c>
      <c r="B25" s="316" t="s">
        <v>600</v>
      </c>
      <c r="C25" s="336" t="s">
        <v>519</v>
      </c>
      <c r="D25" s="328" t="s">
        <v>519</v>
      </c>
    </row>
    <row r="26" spans="1:6" x14ac:dyDescent="0.35">
      <c r="A26" s="342">
        <v>13</v>
      </c>
      <c r="B26" s="343" t="s">
        <v>601</v>
      </c>
      <c r="C26" s="333">
        <f>+SUM(C16:C25)</f>
        <v>639.68540155000005</v>
      </c>
      <c r="D26" s="333">
        <f>+SUM(D16:D25)</f>
        <v>557.70000000000005</v>
      </c>
    </row>
    <row r="27" spans="1:6" x14ac:dyDescent="0.35">
      <c r="A27" s="596" t="s">
        <v>602</v>
      </c>
      <c r="B27" s="597"/>
      <c r="C27" s="597"/>
      <c r="D27" s="598"/>
      <c r="F27" s="56"/>
    </row>
    <row r="28" spans="1:6" x14ac:dyDescent="0.35">
      <c r="A28" s="124">
        <v>14</v>
      </c>
      <c r="B28" s="316" t="s">
        <v>603</v>
      </c>
      <c r="C28" s="320">
        <f>10335247.84/1000000</f>
        <v>10.335247839999999</v>
      </c>
      <c r="D28" s="326">
        <v>9.3000000000000007</v>
      </c>
    </row>
    <row r="29" spans="1:6" x14ac:dyDescent="0.35">
      <c r="A29" s="124">
        <v>15</v>
      </c>
      <c r="B29" s="316" t="s">
        <v>604</v>
      </c>
      <c r="C29" s="320">
        <f>-3955647.61/1000000</f>
        <v>-3.9556476099999998</v>
      </c>
      <c r="D29" s="326">
        <v>51.6</v>
      </c>
    </row>
    <row r="30" spans="1:6" x14ac:dyDescent="0.35">
      <c r="A30" s="124">
        <v>16</v>
      </c>
      <c r="B30" s="316" t="s">
        <v>605</v>
      </c>
      <c r="C30" s="328" t="s">
        <v>519</v>
      </c>
      <c r="D30" s="328" t="s">
        <v>519</v>
      </c>
    </row>
    <row r="31" spans="1:6" x14ac:dyDescent="0.35">
      <c r="A31" s="5" t="s">
        <v>606</v>
      </c>
      <c r="B31" s="316" t="s">
        <v>607</v>
      </c>
      <c r="C31" s="328" t="s">
        <v>519</v>
      </c>
      <c r="D31" s="328" t="s">
        <v>519</v>
      </c>
    </row>
    <row r="32" spans="1:6" x14ac:dyDescent="0.35">
      <c r="A32" s="5">
        <v>17</v>
      </c>
      <c r="B32" s="316" t="s">
        <v>608</v>
      </c>
      <c r="C32" s="328" t="s">
        <v>519</v>
      </c>
      <c r="D32" s="328" t="s">
        <v>519</v>
      </c>
    </row>
    <row r="33" spans="1:4" x14ac:dyDescent="0.35">
      <c r="A33" s="5" t="s">
        <v>609</v>
      </c>
      <c r="B33" s="316" t="s">
        <v>610</v>
      </c>
      <c r="C33" s="328" t="s">
        <v>519</v>
      </c>
      <c r="D33" s="328" t="s">
        <v>519</v>
      </c>
    </row>
    <row r="34" spans="1:4" x14ac:dyDescent="0.35">
      <c r="A34" s="342">
        <v>18</v>
      </c>
      <c r="B34" s="343" t="s">
        <v>611</v>
      </c>
      <c r="C34" s="333">
        <f>SUM(C28:C33)</f>
        <v>6.3796002299999994</v>
      </c>
      <c r="D34" s="333">
        <f>SUM(D28:D33)</f>
        <v>60.900000000000006</v>
      </c>
    </row>
    <row r="35" spans="1:4" x14ac:dyDescent="0.35">
      <c r="A35" s="588" t="s">
        <v>612</v>
      </c>
      <c r="B35" s="589"/>
      <c r="C35" s="589"/>
      <c r="D35" s="590"/>
    </row>
    <row r="36" spans="1:4" x14ac:dyDescent="0.35">
      <c r="A36" s="124">
        <v>19</v>
      </c>
      <c r="B36" s="316" t="s">
        <v>613</v>
      </c>
      <c r="C36" s="320">
        <f>43433295321.16/1000000</f>
        <v>43433.295321160003</v>
      </c>
      <c r="D36" s="326">
        <v>42383.5</v>
      </c>
    </row>
    <row r="37" spans="1:4" x14ac:dyDescent="0.35">
      <c r="A37" s="124">
        <v>20</v>
      </c>
      <c r="B37" s="316" t="s">
        <v>614</v>
      </c>
      <c r="C37" s="320">
        <f>-23902536534.17/1000000</f>
        <v>-23902.536534169998</v>
      </c>
      <c r="D37" s="326">
        <v>-22384.400000000001</v>
      </c>
    </row>
    <row r="38" spans="1:4" ht="29" x14ac:dyDescent="0.35">
      <c r="A38" s="124">
        <v>21</v>
      </c>
      <c r="B38" s="188" t="s">
        <v>615</v>
      </c>
      <c r="C38" s="328" t="s">
        <v>519</v>
      </c>
      <c r="D38" s="328" t="s">
        <v>519</v>
      </c>
    </row>
    <row r="39" spans="1:4" x14ac:dyDescent="0.35">
      <c r="A39" s="342">
        <v>22</v>
      </c>
      <c r="B39" s="344" t="s">
        <v>616</v>
      </c>
      <c r="C39" s="345">
        <f>19530758786.99/1000000</f>
        <v>19530.758786990002</v>
      </c>
      <c r="D39" s="333">
        <f>+SUM(D36:D38)</f>
        <v>19999.099999999999</v>
      </c>
    </row>
    <row r="40" spans="1:4" x14ac:dyDescent="0.35">
      <c r="A40" s="582" t="s">
        <v>617</v>
      </c>
      <c r="B40" s="583"/>
      <c r="C40" s="583"/>
      <c r="D40" s="584"/>
    </row>
    <row r="41" spans="1:4" ht="18" customHeight="1" x14ac:dyDescent="0.35">
      <c r="A41" s="5" t="s">
        <v>618</v>
      </c>
      <c r="B41" s="316" t="s">
        <v>619</v>
      </c>
      <c r="C41" s="328" t="s">
        <v>519</v>
      </c>
      <c r="D41" s="328" t="s">
        <v>519</v>
      </c>
    </row>
    <row r="42" spans="1:4" ht="17.5" customHeight="1" x14ac:dyDescent="0.35">
      <c r="A42" s="5" t="s">
        <v>620</v>
      </c>
      <c r="B42" s="316" t="s">
        <v>621</v>
      </c>
      <c r="C42" s="328" t="s">
        <v>519</v>
      </c>
      <c r="D42" s="328" t="s">
        <v>519</v>
      </c>
    </row>
    <row r="43" spans="1:4" x14ac:dyDescent="0.35">
      <c r="A43" s="346" t="s">
        <v>622</v>
      </c>
      <c r="B43" s="335" t="s">
        <v>623</v>
      </c>
      <c r="C43" s="328" t="s">
        <v>519</v>
      </c>
      <c r="D43" s="328" t="s">
        <v>519</v>
      </c>
    </row>
    <row r="44" spans="1:4" x14ac:dyDescent="0.35">
      <c r="A44" s="346" t="s">
        <v>624</v>
      </c>
      <c r="B44" s="335" t="s">
        <v>625</v>
      </c>
      <c r="C44" s="328" t="s">
        <v>519</v>
      </c>
      <c r="D44" s="328" t="s">
        <v>519</v>
      </c>
    </row>
    <row r="45" spans="1:4" ht="18" customHeight="1" x14ac:dyDescent="0.35">
      <c r="A45" s="346" t="s">
        <v>626</v>
      </c>
      <c r="B45" s="347" t="s">
        <v>627</v>
      </c>
      <c r="C45" s="328" t="s">
        <v>519</v>
      </c>
      <c r="D45" s="328" t="s">
        <v>519</v>
      </c>
    </row>
    <row r="46" spans="1:4" x14ac:dyDescent="0.35">
      <c r="A46" s="346" t="s">
        <v>628</v>
      </c>
      <c r="B46" s="335" t="s">
        <v>629</v>
      </c>
      <c r="C46" s="328" t="s">
        <v>519</v>
      </c>
      <c r="D46" s="328" t="s">
        <v>519</v>
      </c>
    </row>
    <row r="47" spans="1:4" x14ac:dyDescent="0.35">
      <c r="A47" s="346" t="s">
        <v>630</v>
      </c>
      <c r="B47" s="335" t="s">
        <v>631</v>
      </c>
      <c r="C47" s="328" t="s">
        <v>519</v>
      </c>
      <c r="D47" s="328" t="s">
        <v>519</v>
      </c>
    </row>
    <row r="48" spans="1:4" ht="29" x14ac:dyDescent="0.35">
      <c r="A48" s="346" t="s">
        <v>632</v>
      </c>
      <c r="B48" s="335" t="s">
        <v>633</v>
      </c>
      <c r="C48" s="328" t="s">
        <v>519</v>
      </c>
      <c r="D48" s="328" t="s">
        <v>519</v>
      </c>
    </row>
    <row r="49" spans="1:4" ht="17.5" customHeight="1" x14ac:dyDescent="0.35">
      <c r="A49" s="346" t="s">
        <v>634</v>
      </c>
      <c r="B49" s="347" t="s">
        <v>635</v>
      </c>
      <c r="C49" s="328" t="s">
        <v>519</v>
      </c>
      <c r="D49" s="328" t="s">
        <v>519</v>
      </c>
    </row>
    <row r="50" spans="1:4" x14ac:dyDescent="0.35">
      <c r="A50" s="346" t="s">
        <v>636</v>
      </c>
      <c r="B50" s="335" t="s">
        <v>637</v>
      </c>
      <c r="C50" s="328" t="s">
        <v>519</v>
      </c>
      <c r="D50" s="328" t="s">
        <v>519</v>
      </c>
    </row>
    <row r="51" spans="1:4" x14ac:dyDescent="0.35">
      <c r="A51" s="348" t="s">
        <v>638</v>
      </c>
      <c r="B51" s="349" t="s">
        <v>639</v>
      </c>
      <c r="C51" s="328" t="s">
        <v>519</v>
      </c>
      <c r="D51" s="328" t="s">
        <v>519</v>
      </c>
    </row>
    <row r="52" spans="1:4" x14ac:dyDescent="0.35">
      <c r="A52" s="585" t="s">
        <v>640</v>
      </c>
      <c r="B52" s="586"/>
      <c r="C52" s="586"/>
      <c r="D52" s="587"/>
    </row>
    <row r="53" spans="1:4" x14ac:dyDescent="0.35">
      <c r="A53" s="124">
        <v>23</v>
      </c>
      <c r="B53" s="350" t="s">
        <v>197</v>
      </c>
      <c r="C53" s="322">
        <f>9846510974.35/1000000</f>
        <v>9846.5109743499997</v>
      </c>
      <c r="D53" s="351">
        <v>9925.5</v>
      </c>
    </row>
    <row r="54" spans="1:4" x14ac:dyDescent="0.35">
      <c r="A54" s="352">
        <v>24</v>
      </c>
      <c r="B54" s="353" t="s">
        <v>573</v>
      </c>
      <c r="C54" s="354">
        <f>+C14+C26+C34+C39</f>
        <v>124484.28186932</v>
      </c>
      <c r="D54" s="354">
        <f>+D14+D26+D34+D39</f>
        <v>127126.39999999999</v>
      </c>
    </row>
    <row r="55" spans="1:4" x14ac:dyDescent="0.35">
      <c r="A55" s="585" t="s">
        <v>641</v>
      </c>
      <c r="B55" s="586"/>
      <c r="C55" s="586"/>
      <c r="D55" s="587"/>
    </row>
    <row r="56" spans="1:4" x14ac:dyDescent="0.35">
      <c r="A56" s="124">
        <v>25</v>
      </c>
      <c r="B56" s="4" t="s">
        <v>642</v>
      </c>
      <c r="C56" s="355">
        <v>7.9098000000000002E-2</v>
      </c>
      <c r="D56" s="356">
        <v>7.8E-2</v>
      </c>
    </row>
    <row r="57" spans="1:4" x14ac:dyDescent="0.35">
      <c r="A57" s="5" t="s">
        <v>643</v>
      </c>
      <c r="B57" s="316" t="s">
        <v>644</v>
      </c>
      <c r="C57" s="355">
        <v>7.9098000000000002E-2</v>
      </c>
      <c r="D57" s="356">
        <v>7.8E-2</v>
      </c>
    </row>
    <row r="58" spans="1:4" x14ac:dyDescent="0.35">
      <c r="A58" s="5" t="s">
        <v>645</v>
      </c>
      <c r="B58" s="188" t="s">
        <v>646</v>
      </c>
      <c r="C58" s="355">
        <v>7.9100000000000004E-2</v>
      </c>
      <c r="D58" s="356">
        <v>7.8E-2</v>
      </c>
    </row>
    <row r="59" spans="1:4" x14ac:dyDescent="0.35">
      <c r="A59" s="5">
        <v>26</v>
      </c>
      <c r="B59" s="316" t="s">
        <v>647</v>
      </c>
      <c r="C59" s="357">
        <v>0.03</v>
      </c>
      <c r="D59" s="356">
        <v>0.03</v>
      </c>
    </row>
    <row r="60" spans="1:4" x14ac:dyDescent="0.35">
      <c r="A60" s="5" t="s">
        <v>648</v>
      </c>
      <c r="B60" s="316" t="s">
        <v>649</v>
      </c>
      <c r="C60" s="336" t="s">
        <v>519</v>
      </c>
      <c r="D60" s="336" t="s">
        <v>519</v>
      </c>
    </row>
    <row r="61" spans="1:4" x14ac:dyDescent="0.35">
      <c r="A61" s="5" t="s">
        <v>650</v>
      </c>
      <c r="B61" s="316" t="s">
        <v>651</v>
      </c>
      <c r="C61" s="336" t="s">
        <v>519</v>
      </c>
      <c r="D61" s="336" t="s">
        <v>519</v>
      </c>
    </row>
    <row r="62" spans="1:4" x14ac:dyDescent="0.35">
      <c r="A62" s="5">
        <v>27</v>
      </c>
      <c r="B62" s="188" t="s">
        <v>652</v>
      </c>
      <c r="C62" s="336" t="s">
        <v>519</v>
      </c>
      <c r="D62" s="336" t="s">
        <v>519</v>
      </c>
    </row>
    <row r="63" spans="1:4" x14ac:dyDescent="0.35">
      <c r="A63" s="123" t="s">
        <v>653</v>
      </c>
      <c r="B63" s="188" t="s">
        <v>654</v>
      </c>
      <c r="C63" s="328" t="s">
        <v>519</v>
      </c>
      <c r="D63" s="336" t="s">
        <v>519</v>
      </c>
    </row>
    <row r="64" spans="1:4" x14ac:dyDescent="0.35">
      <c r="A64" s="582" t="s">
        <v>655</v>
      </c>
      <c r="B64" s="583"/>
      <c r="C64" s="583"/>
      <c r="D64" s="584"/>
    </row>
    <row r="65" spans="1:4" x14ac:dyDescent="0.35">
      <c r="A65" s="123" t="s">
        <v>656</v>
      </c>
      <c r="B65" s="188" t="s">
        <v>657</v>
      </c>
      <c r="C65" s="328" t="s">
        <v>519</v>
      </c>
      <c r="D65" s="328" t="s">
        <v>519</v>
      </c>
    </row>
    <row r="66" spans="1:4" x14ac:dyDescent="0.35">
      <c r="A66" s="585" t="s">
        <v>658</v>
      </c>
      <c r="B66" s="586"/>
      <c r="C66" s="586"/>
      <c r="D66" s="587"/>
    </row>
    <row r="67" spans="1:4" ht="29" x14ac:dyDescent="0.35">
      <c r="A67" s="5">
        <v>28</v>
      </c>
      <c r="B67" s="316" t="s">
        <v>659</v>
      </c>
      <c r="C67" s="358" t="s">
        <v>519</v>
      </c>
      <c r="D67" s="328" t="s">
        <v>519</v>
      </c>
    </row>
    <row r="68" spans="1:4" ht="29" x14ac:dyDescent="0.35">
      <c r="A68" s="5">
        <v>29</v>
      </c>
      <c r="B68" s="316" t="s">
        <v>660</v>
      </c>
      <c r="C68" s="320">
        <f>6379600.23/1000000</f>
        <v>6.3796002300000003</v>
      </c>
      <c r="D68" s="359">
        <v>61</v>
      </c>
    </row>
    <row r="69" spans="1:4" ht="43.5" x14ac:dyDescent="0.35">
      <c r="A69" s="123">
        <v>30</v>
      </c>
      <c r="B69" s="188" t="s">
        <v>661</v>
      </c>
      <c r="C69" s="320">
        <f>124477902269.1/1000000</f>
        <v>124477.9022691</v>
      </c>
      <c r="D69" s="319">
        <v>127065.5</v>
      </c>
    </row>
    <row r="70" spans="1:4" ht="43.5" x14ac:dyDescent="0.35">
      <c r="A70" s="123" t="s">
        <v>662</v>
      </c>
      <c r="B70" s="188" t="s">
        <v>663</v>
      </c>
      <c r="C70" s="320">
        <f>124477902269.1/1000000</f>
        <v>124477.9022691</v>
      </c>
      <c r="D70" s="319">
        <v>127065.5</v>
      </c>
    </row>
    <row r="71" spans="1:4" ht="43.5" x14ac:dyDescent="0.35">
      <c r="A71" s="5">
        <v>31</v>
      </c>
      <c r="B71" s="316" t="s">
        <v>664</v>
      </c>
      <c r="C71" s="355">
        <v>7.9102000000000006E-2</v>
      </c>
      <c r="D71" s="360">
        <f>+D56</f>
        <v>7.8E-2</v>
      </c>
    </row>
    <row r="72" spans="1:4" ht="43.5" x14ac:dyDescent="0.35">
      <c r="A72" s="5" t="s">
        <v>665</v>
      </c>
      <c r="B72" s="316" t="s">
        <v>666</v>
      </c>
      <c r="C72" s="355">
        <v>7.9102000000000006E-2</v>
      </c>
      <c r="D72" s="360">
        <f>+D56</f>
        <v>7.8E-2</v>
      </c>
    </row>
  </sheetData>
  <mergeCells count="11">
    <mergeCell ref="A35:D35"/>
    <mergeCell ref="C4:D4"/>
    <mergeCell ref="A5:B6"/>
    <mergeCell ref="A7:D7"/>
    <mergeCell ref="A15:D15"/>
    <mergeCell ref="A27:D27"/>
    <mergeCell ref="A40:D40"/>
    <mergeCell ref="A52:D52"/>
    <mergeCell ref="A55:D55"/>
    <mergeCell ref="A64:D64"/>
    <mergeCell ref="A66:D6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339D-0B5C-44EC-AA55-127774BD3ABA}">
  <dimension ref="A2:F122"/>
  <sheetViews>
    <sheetView workbookViewId="0">
      <selection activeCell="A2" sqref="A2"/>
    </sheetView>
  </sheetViews>
  <sheetFormatPr defaultRowHeight="14.5" x14ac:dyDescent="0.35"/>
  <cols>
    <col min="1" max="1" width="9" customWidth="1"/>
    <col min="2" max="2" width="66.453125" customWidth="1"/>
    <col min="3" max="3" width="23.81640625" style="2" customWidth="1"/>
    <col min="4" max="4" width="51.7265625" customWidth="1"/>
  </cols>
  <sheetData>
    <row r="2" spans="1:4" ht="18.5" x14ac:dyDescent="0.45">
      <c r="A2" s="1" t="s">
        <v>87</v>
      </c>
      <c r="B2" s="57"/>
    </row>
    <row r="3" spans="1:4" ht="18.5" x14ac:dyDescent="0.45">
      <c r="A3" s="3"/>
    </row>
    <row r="4" spans="1:4" x14ac:dyDescent="0.35">
      <c r="A4" s="4"/>
      <c r="B4" s="4"/>
      <c r="C4" s="5" t="s">
        <v>88</v>
      </c>
      <c r="D4" s="5" t="s">
        <v>89</v>
      </c>
    </row>
    <row r="5" spans="1:4" ht="29" x14ac:dyDescent="0.35">
      <c r="A5" s="4" t="s">
        <v>62</v>
      </c>
      <c r="B5" s="4"/>
      <c r="C5" s="5" t="s">
        <v>90</v>
      </c>
      <c r="D5" s="5" t="s">
        <v>91</v>
      </c>
    </row>
    <row r="6" spans="1:4" x14ac:dyDescent="0.35">
      <c r="A6" s="504" t="s">
        <v>92</v>
      </c>
      <c r="B6" s="505"/>
      <c r="C6" s="505"/>
      <c r="D6" s="506"/>
    </row>
    <row r="7" spans="1:4" x14ac:dyDescent="0.35">
      <c r="A7" s="6">
        <v>1</v>
      </c>
      <c r="B7" s="7" t="s">
        <v>93</v>
      </c>
      <c r="C7" s="8">
        <f>2100000000/1000000</f>
        <v>2100</v>
      </c>
      <c r="D7" s="9" t="s">
        <v>94</v>
      </c>
    </row>
    <row r="8" spans="1:4" x14ac:dyDescent="0.35">
      <c r="A8" s="6"/>
      <c r="B8" s="7" t="s">
        <v>95</v>
      </c>
      <c r="C8" s="10" t="s">
        <v>96</v>
      </c>
      <c r="D8" s="11" t="s">
        <v>96</v>
      </c>
    </row>
    <row r="9" spans="1:4" x14ac:dyDescent="0.35">
      <c r="A9" s="6"/>
      <c r="B9" s="7" t="s">
        <v>97</v>
      </c>
      <c r="C9" s="10" t="s">
        <v>96</v>
      </c>
      <c r="D9" s="11" t="s">
        <v>96</v>
      </c>
    </row>
    <row r="10" spans="1:4" x14ac:dyDescent="0.35">
      <c r="A10" s="6"/>
      <c r="B10" s="7" t="s">
        <v>98</v>
      </c>
      <c r="C10" s="10" t="s">
        <v>96</v>
      </c>
      <c r="D10" s="11" t="s">
        <v>96</v>
      </c>
    </row>
    <row r="11" spans="1:4" x14ac:dyDescent="0.35">
      <c r="A11" s="6">
        <v>2</v>
      </c>
      <c r="B11" s="7" t="s">
        <v>99</v>
      </c>
      <c r="C11" s="8">
        <f>6111611112/1000000</f>
        <v>6111.6111119999996</v>
      </c>
      <c r="D11" s="11" t="s">
        <v>100</v>
      </c>
    </row>
    <row r="12" spans="1:4" x14ac:dyDescent="0.35">
      <c r="A12" s="6">
        <v>3</v>
      </c>
      <c r="B12" s="7" t="s">
        <v>101</v>
      </c>
      <c r="C12" s="8">
        <f>980455617/1000000</f>
        <v>980.45561699999996</v>
      </c>
      <c r="D12" s="11" t="s">
        <v>102</v>
      </c>
    </row>
    <row r="13" spans="1:4" x14ac:dyDescent="0.35">
      <c r="A13" s="6" t="s">
        <v>103</v>
      </c>
      <c r="B13" s="7" t="s">
        <v>104</v>
      </c>
      <c r="C13" s="12">
        <v>0</v>
      </c>
      <c r="D13" s="11" t="s">
        <v>96</v>
      </c>
    </row>
    <row r="14" spans="1:4" ht="24" x14ac:dyDescent="0.35">
      <c r="A14" s="6">
        <v>4</v>
      </c>
      <c r="B14" s="7" t="s">
        <v>105</v>
      </c>
      <c r="C14" s="8">
        <f>-515863146/1000000</f>
        <v>-515.86314600000003</v>
      </c>
      <c r="D14" s="11" t="s">
        <v>96</v>
      </c>
    </row>
    <row r="15" spans="1:4" x14ac:dyDescent="0.35">
      <c r="A15" s="6">
        <v>5</v>
      </c>
      <c r="B15" s="7" t="s">
        <v>106</v>
      </c>
      <c r="C15" s="8">
        <f>1427490253/1000000</f>
        <v>1427.4902529999999</v>
      </c>
      <c r="D15" s="11" t="s">
        <v>107</v>
      </c>
    </row>
    <row r="16" spans="1:4" x14ac:dyDescent="0.35">
      <c r="A16" s="6" t="s">
        <v>108</v>
      </c>
      <c r="B16" s="7" t="s">
        <v>109</v>
      </c>
      <c r="C16" s="8">
        <f>45291744/1000000</f>
        <v>45.291744000000001</v>
      </c>
      <c r="D16" s="11" t="s">
        <v>100</v>
      </c>
    </row>
    <row r="17" spans="1:5" x14ac:dyDescent="0.35">
      <c r="A17" s="13">
        <v>6</v>
      </c>
      <c r="B17" s="14" t="s">
        <v>110</v>
      </c>
      <c r="C17" s="15">
        <f>10148985580/1000000</f>
        <v>10148.98558</v>
      </c>
      <c r="D17" s="11" t="s">
        <v>96</v>
      </c>
    </row>
    <row r="18" spans="1:5" x14ac:dyDescent="0.35">
      <c r="A18" s="498" t="s">
        <v>111</v>
      </c>
      <c r="B18" s="499"/>
      <c r="C18" s="499"/>
      <c r="D18" s="500"/>
    </row>
    <row r="19" spans="1:5" x14ac:dyDescent="0.35">
      <c r="A19" s="6">
        <v>7</v>
      </c>
      <c r="B19" s="16" t="s">
        <v>112</v>
      </c>
      <c r="C19" s="8">
        <f>-32485315/1000000</f>
        <v>-32.485315</v>
      </c>
      <c r="D19" s="9" t="s">
        <v>96</v>
      </c>
      <c r="E19" s="17"/>
    </row>
    <row r="20" spans="1:5" x14ac:dyDescent="0.35">
      <c r="A20" s="6">
        <v>8</v>
      </c>
      <c r="B20" s="16" t="s">
        <v>113</v>
      </c>
      <c r="C20" s="8">
        <f>-231610582/1000000</f>
        <v>-231.61058199999999</v>
      </c>
      <c r="D20" s="11" t="s">
        <v>114</v>
      </c>
      <c r="E20" s="17"/>
    </row>
    <row r="21" spans="1:5" x14ac:dyDescent="0.35">
      <c r="A21" s="6">
        <v>9</v>
      </c>
      <c r="B21" s="16" t="s">
        <v>115</v>
      </c>
      <c r="C21" s="10" t="s">
        <v>96</v>
      </c>
      <c r="D21" s="18" t="s">
        <v>96</v>
      </c>
      <c r="E21" s="17"/>
    </row>
    <row r="22" spans="1:5" ht="36" x14ac:dyDescent="0.35">
      <c r="A22" s="6">
        <v>10</v>
      </c>
      <c r="B22" s="16" t="s">
        <v>116</v>
      </c>
      <c r="C22" s="8">
        <f>-379999554/1000000</f>
        <v>-379.99955399999999</v>
      </c>
      <c r="D22" s="11" t="s">
        <v>117</v>
      </c>
      <c r="E22" s="17"/>
    </row>
    <row r="23" spans="1:5" ht="24" x14ac:dyDescent="0.35">
      <c r="A23" s="6">
        <v>11</v>
      </c>
      <c r="B23" s="16" t="s">
        <v>118</v>
      </c>
      <c r="C23" s="12">
        <v>0</v>
      </c>
      <c r="D23" s="11" t="s">
        <v>96</v>
      </c>
      <c r="E23" s="17"/>
    </row>
    <row r="24" spans="1:5" x14ac:dyDescent="0.35">
      <c r="A24" s="6">
        <v>12</v>
      </c>
      <c r="B24" s="16" t="s">
        <v>119</v>
      </c>
      <c r="C24" s="12">
        <v>0</v>
      </c>
      <c r="D24" s="11" t="s">
        <v>96</v>
      </c>
      <c r="E24" s="17"/>
    </row>
    <row r="25" spans="1:5" x14ac:dyDescent="0.35">
      <c r="A25" s="6">
        <v>13</v>
      </c>
      <c r="B25" s="16" t="s">
        <v>120</v>
      </c>
      <c r="C25" s="12">
        <v>0</v>
      </c>
      <c r="D25" s="11" t="s">
        <v>96</v>
      </c>
      <c r="E25" s="17"/>
    </row>
    <row r="26" spans="1:5" ht="24" x14ac:dyDescent="0.35">
      <c r="A26" s="6">
        <v>14</v>
      </c>
      <c r="B26" s="16" t="s">
        <v>121</v>
      </c>
      <c r="C26" s="12">
        <v>0</v>
      </c>
      <c r="D26" s="11" t="s">
        <v>96</v>
      </c>
      <c r="E26" s="17"/>
    </row>
    <row r="27" spans="1:5" x14ac:dyDescent="0.35">
      <c r="A27" s="6">
        <v>15</v>
      </c>
      <c r="B27" s="16" t="s">
        <v>122</v>
      </c>
      <c r="C27" s="12">
        <v>0</v>
      </c>
      <c r="D27" s="11" t="s">
        <v>96</v>
      </c>
      <c r="E27" s="17"/>
    </row>
    <row r="28" spans="1:5" ht="24" x14ac:dyDescent="0.35">
      <c r="A28" s="6">
        <v>16</v>
      </c>
      <c r="B28" s="16" t="s">
        <v>123</v>
      </c>
      <c r="C28" s="8">
        <f>-6447961/1000000</f>
        <v>-6.4479610000000003</v>
      </c>
      <c r="D28" s="11" t="s">
        <v>124</v>
      </c>
      <c r="E28" s="17"/>
    </row>
    <row r="29" spans="1:5" ht="36" x14ac:dyDescent="0.35">
      <c r="A29" s="6">
        <v>17</v>
      </c>
      <c r="B29" s="16" t="s">
        <v>125</v>
      </c>
      <c r="C29" s="12">
        <v>0</v>
      </c>
      <c r="D29" s="11" t="s">
        <v>96</v>
      </c>
      <c r="E29" s="17"/>
    </row>
    <row r="30" spans="1:5" ht="48" x14ac:dyDescent="0.35">
      <c r="A30" s="6">
        <v>18</v>
      </c>
      <c r="B30" s="16" t="s">
        <v>126</v>
      </c>
      <c r="C30" s="8">
        <f>-120564810/1000000</f>
        <v>-120.56480999999999</v>
      </c>
      <c r="D30" s="11" t="s">
        <v>96</v>
      </c>
      <c r="E30" s="17"/>
    </row>
    <row r="31" spans="1:5" ht="36" x14ac:dyDescent="0.35">
      <c r="A31" s="6">
        <v>19</v>
      </c>
      <c r="B31" s="16" t="s">
        <v>127</v>
      </c>
      <c r="C31" s="12">
        <v>0</v>
      </c>
      <c r="D31" s="11" t="s">
        <v>96</v>
      </c>
      <c r="E31" s="17"/>
    </row>
    <row r="32" spans="1:5" x14ac:dyDescent="0.35">
      <c r="A32" s="6">
        <v>20</v>
      </c>
      <c r="B32" s="16" t="s">
        <v>115</v>
      </c>
      <c r="C32" s="12" t="s">
        <v>96</v>
      </c>
      <c r="D32" s="18" t="s">
        <v>96</v>
      </c>
      <c r="E32" s="17"/>
    </row>
    <row r="33" spans="1:5" ht="24" x14ac:dyDescent="0.35">
      <c r="A33" s="6" t="s">
        <v>128</v>
      </c>
      <c r="B33" s="16" t="s">
        <v>129</v>
      </c>
      <c r="C33" s="12">
        <v>0</v>
      </c>
      <c r="D33" s="18" t="s">
        <v>96</v>
      </c>
      <c r="E33" s="17"/>
    </row>
    <row r="34" spans="1:5" x14ac:dyDescent="0.35">
      <c r="A34" s="6" t="s">
        <v>130</v>
      </c>
      <c r="B34" s="16" t="s">
        <v>131</v>
      </c>
      <c r="C34" s="12">
        <v>0</v>
      </c>
      <c r="D34" s="11" t="s">
        <v>96</v>
      </c>
      <c r="E34" s="17"/>
    </row>
    <row r="35" spans="1:5" x14ac:dyDescent="0.35">
      <c r="A35" s="6" t="s">
        <v>132</v>
      </c>
      <c r="B35" s="19" t="s">
        <v>133</v>
      </c>
      <c r="C35" s="12">
        <v>0</v>
      </c>
      <c r="D35" s="11" t="s">
        <v>96</v>
      </c>
      <c r="E35" s="17"/>
    </row>
    <row r="36" spans="1:5" x14ac:dyDescent="0.35">
      <c r="A36" s="6" t="s">
        <v>134</v>
      </c>
      <c r="B36" s="16" t="s">
        <v>135</v>
      </c>
      <c r="C36" s="12">
        <v>0</v>
      </c>
      <c r="D36" s="11" t="s">
        <v>96</v>
      </c>
      <c r="E36" s="17"/>
    </row>
    <row r="37" spans="1:5" ht="36" x14ac:dyDescent="0.35">
      <c r="A37" s="6">
        <v>21</v>
      </c>
      <c r="B37" s="16" t="s">
        <v>136</v>
      </c>
      <c r="C37" s="12">
        <v>0</v>
      </c>
      <c r="D37" s="11" t="s">
        <v>96</v>
      </c>
      <c r="E37" s="17"/>
    </row>
    <row r="38" spans="1:5" x14ac:dyDescent="0.35">
      <c r="A38" s="6">
        <v>22</v>
      </c>
      <c r="B38" s="16" t="s">
        <v>137</v>
      </c>
      <c r="C38" s="12">
        <v>0</v>
      </c>
      <c r="D38" s="11" t="s">
        <v>96</v>
      </c>
      <c r="E38" s="17"/>
    </row>
    <row r="39" spans="1:5" ht="36" x14ac:dyDescent="0.35">
      <c r="A39" s="6">
        <v>23</v>
      </c>
      <c r="B39" s="16" t="s">
        <v>138</v>
      </c>
      <c r="C39" s="12">
        <v>0</v>
      </c>
      <c r="D39" s="18" t="s">
        <v>96</v>
      </c>
      <c r="E39" s="17"/>
    </row>
    <row r="40" spans="1:5" x14ac:dyDescent="0.35">
      <c r="A40" s="6">
        <v>24</v>
      </c>
      <c r="B40" s="16" t="s">
        <v>115</v>
      </c>
      <c r="C40" s="12" t="s">
        <v>96</v>
      </c>
      <c r="D40" s="18" t="s">
        <v>96</v>
      </c>
      <c r="E40" s="17"/>
    </row>
    <row r="41" spans="1:5" x14ac:dyDescent="0.35">
      <c r="A41" s="6">
        <v>25</v>
      </c>
      <c r="B41" s="16" t="s">
        <v>139</v>
      </c>
      <c r="C41" s="12">
        <v>0</v>
      </c>
      <c r="D41" s="11" t="s">
        <v>96</v>
      </c>
      <c r="E41" s="17"/>
    </row>
    <row r="42" spans="1:5" x14ac:dyDescent="0.35">
      <c r="A42" s="6" t="s">
        <v>140</v>
      </c>
      <c r="B42" s="16" t="s">
        <v>141</v>
      </c>
      <c r="C42" s="12">
        <v>0</v>
      </c>
      <c r="D42" s="11" t="s">
        <v>96</v>
      </c>
      <c r="E42" s="17"/>
    </row>
    <row r="43" spans="1:5" ht="36" x14ac:dyDescent="0.35">
      <c r="A43" s="6" t="s">
        <v>142</v>
      </c>
      <c r="B43" s="16" t="s">
        <v>143</v>
      </c>
      <c r="C43" s="12">
        <v>0</v>
      </c>
      <c r="D43" s="20" t="s">
        <v>96</v>
      </c>
      <c r="E43" s="17"/>
    </row>
    <row r="44" spans="1:5" x14ac:dyDescent="0.35">
      <c r="A44" s="6">
        <v>26</v>
      </c>
      <c r="B44" s="16" t="s">
        <v>115</v>
      </c>
      <c r="C44" s="10" t="s">
        <v>96</v>
      </c>
      <c r="D44" s="18" t="s">
        <v>96</v>
      </c>
      <c r="E44" s="17"/>
    </row>
    <row r="45" spans="1:5" ht="24" x14ac:dyDescent="0.35">
      <c r="A45" s="6">
        <v>27</v>
      </c>
      <c r="B45" s="16" t="s">
        <v>144</v>
      </c>
      <c r="C45" s="12">
        <v>0</v>
      </c>
      <c r="D45" s="11" t="s">
        <v>96</v>
      </c>
      <c r="E45" s="17"/>
    </row>
    <row r="46" spans="1:5" x14ac:dyDescent="0.35">
      <c r="A46" s="6" t="s">
        <v>145</v>
      </c>
      <c r="B46" s="16" t="s">
        <v>146</v>
      </c>
      <c r="C46" s="8">
        <f>-233907587/1000000</f>
        <v>-233.90758700000001</v>
      </c>
      <c r="D46" s="11" t="s">
        <v>96</v>
      </c>
      <c r="E46" s="17"/>
    </row>
    <row r="47" spans="1:5" x14ac:dyDescent="0.35">
      <c r="A47" s="6">
        <v>28</v>
      </c>
      <c r="B47" s="21" t="s">
        <v>147</v>
      </c>
      <c r="C47" s="8">
        <f>-1005015809/1000000</f>
        <v>-1005.015809</v>
      </c>
      <c r="D47" s="11" t="s">
        <v>96</v>
      </c>
      <c r="E47" s="17"/>
    </row>
    <row r="48" spans="1:5" x14ac:dyDescent="0.35">
      <c r="A48" s="6">
        <v>29</v>
      </c>
      <c r="B48" s="21" t="s">
        <v>148</v>
      </c>
      <c r="C48" s="15">
        <f>9143969771/1000000</f>
        <v>9143.969771</v>
      </c>
      <c r="D48" s="11" t="s">
        <v>96</v>
      </c>
      <c r="E48" s="17"/>
    </row>
    <row r="49" spans="1:4" x14ac:dyDescent="0.35">
      <c r="A49" s="498" t="s">
        <v>149</v>
      </c>
      <c r="B49" s="499"/>
      <c r="C49" s="499"/>
      <c r="D49" s="500"/>
    </row>
    <row r="50" spans="1:4" x14ac:dyDescent="0.35">
      <c r="A50" s="6">
        <v>30</v>
      </c>
      <c r="B50" s="16" t="s">
        <v>93</v>
      </c>
      <c r="C50" s="8">
        <f>729700000/1000000</f>
        <v>729.7</v>
      </c>
      <c r="D50" s="9" t="s">
        <v>150</v>
      </c>
    </row>
    <row r="51" spans="1:4" x14ac:dyDescent="0.35">
      <c r="A51" s="6">
        <v>31</v>
      </c>
      <c r="B51" s="16" t="s">
        <v>151</v>
      </c>
      <c r="C51" s="8">
        <f>729700000/1000000</f>
        <v>729.7</v>
      </c>
      <c r="D51" s="22"/>
    </row>
    <row r="52" spans="1:4" x14ac:dyDescent="0.35">
      <c r="A52" s="6">
        <v>32</v>
      </c>
      <c r="B52" s="16" t="s">
        <v>152</v>
      </c>
      <c r="C52" s="12" t="s">
        <v>96</v>
      </c>
      <c r="D52" s="22"/>
    </row>
    <row r="53" spans="1:4" ht="24" x14ac:dyDescent="0.35">
      <c r="A53" s="6">
        <v>33</v>
      </c>
      <c r="B53" s="16" t="s">
        <v>153</v>
      </c>
      <c r="C53" s="12">
        <v>0</v>
      </c>
      <c r="D53" s="22"/>
    </row>
    <row r="54" spans="1:4" ht="24" x14ac:dyDescent="0.35">
      <c r="A54" s="6" t="s">
        <v>154</v>
      </c>
      <c r="B54" s="16" t="s">
        <v>155</v>
      </c>
      <c r="C54" s="12">
        <v>0</v>
      </c>
      <c r="D54" s="22"/>
    </row>
    <row r="55" spans="1:4" ht="24" x14ac:dyDescent="0.35">
      <c r="A55" s="6" t="s">
        <v>156</v>
      </c>
      <c r="B55" s="16" t="s">
        <v>157</v>
      </c>
      <c r="C55" s="12">
        <v>0</v>
      </c>
      <c r="D55" s="22"/>
    </row>
    <row r="56" spans="1:4" ht="36" x14ac:dyDescent="0.35">
      <c r="A56" s="6">
        <v>34</v>
      </c>
      <c r="B56" s="16" t="s">
        <v>158</v>
      </c>
      <c r="C56" s="8">
        <f>-27158797/1000000</f>
        <v>-27.158797</v>
      </c>
      <c r="D56" s="22"/>
    </row>
    <row r="57" spans="1:4" x14ac:dyDescent="0.35">
      <c r="A57" s="6">
        <v>35</v>
      </c>
      <c r="B57" s="16" t="s">
        <v>159</v>
      </c>
      <c r="C57" s="8">
        <f>-27158797/1000000</f>
        <v>-27.158797</v>
      </c>
      <c r="D57" s="22"/>
    </row>
    <row r="58" spans="1:4" x14ac:dyDescent="0.35">
      <c r="A58" s="13">
        <v>36</v>
      </c>
      <c r="B58" s="21" t="s">
        <v>160</v>
      </c>
      <c r="C58" s="15">
        <f>702541203/1000000</f>
        <v>702.541203</v>
      </c>
      <c r="D58" s="22"/>
    </row>
    <row r="59" spans="1:4" x14ac:dyDescent="0.35">
      <c r="A59" s="498" t="s">
        <v>161</v>
      </c>
      <c r="B59" s="499"/>
      <c r="C59" s="499"/>
      <c r="D59" s="500"/>
    </row>
    <row r="60" spans="1:4" ht="24" x14ac:dyDescent="0.35">
      <c r="A60" s="6">
        <v>37</v>
      </c>
      <c r="B60" s="16" t="s">
        <v>162</v>
      </c>
      <c r="C60" s="23">
        <v>0</v>
      </c>
      <c r="D60" s="22"/>
    </row>
    <row r="61" spans="1:4" ht="36" x14ac:dyDescent="0.35">
      <c r="A61" s="6">
        <v>38</v>
      </c>
      <c r="B61" s="16" t="s">
        <v>163</v>
      </c>
      <c r="C61" s="12">
        <v>0</v>
      </c>
      <c r="D61" s="22"/>
    </row>
    <row r="62" spans="1:4" ht="36" x14ac:dyDescent="0.35">
      <c r="A62" s="6">
        <v>39</v>
      </c>
      <c r="B62" s="16" t="s">
        <v>164</v>
      </c>
      <c r="C62" s="12">
        <v>0</v>
      </c>
      <c r="D62" s="22"/>
    </row>
    <row r="63" spans="1:4" ht="36" x14ac:dyDescent="0.35">
      <c r="A63" s="6">
        <v>40</v>
      </c>
      <c r="B63" s="24" t="s">
        <v>165</v>
      </c>
      <c r="C63" s="12">
        <v>0</v>
      </c>
      <c r="D63" s="22"/>
    </row>
    <row r="64" spans="1:4" x14ac:dyDescent="0.35">
      <c r="A64" s="6">
        <v>41</v>
      </c>
      <c r="B64" s="16" t="s">
        <v>115</v>
      </c>
      <c r="C64" s="12" t="s">
        <v>96</v>
      </c>
      <c r="D64" s="22"/>
    </row>
    <row r="65" spans="1:4" ht="24" x14ac:dyDescent="0.35">
      <c r="A65" s="6">
        <v>42</v>
      </c>
      <c r="B65" s="16" t="s">
        <v>166</v>
      </c>
      <c r="C65" s="12">
        <v>0</v>
      </c>
      <c r="D65" s="22"/>
    </row>
    <row r="66" spans="1:4" x14ac:dyDescent="0.35">
      <c r="A66" s="6" t="s">
        <v>167</v>
      </c>
      <c r="B66" s="16" t="s">
        <v>168</v>
      </c>
      <c r="C66" s="12">
        <v>0</v>
      </c>
      <c r="D66" s="22"/>
    </row>
    <row r="67" spans="1:4" x14ac:dyDescent="0.35">
      <c r="A67" s="13">
        <v>43</v>
      </c>
      <c r="B67" s="21" t="s">
        <v>169</v>
      </c>
      <c r="C67" s="12">
        <v>0</v>
      </c>
      <c r="D67" s="22"/>
    </row>
    <row r="68" spans="1:4" x14ac:dyDescent="0.35">
      <c r="A68" s="13">
        <v>44</v>
      </c>
      <c r="B68" s="21" t="s">
        <v>170</v>
      </c>
      <c r="C68" s="8">
        <f>702541203/1000000</f>
        <v>702.541203</v>
      </c>
      <c r="D68" s="22"/>
    </row>
    <row r="69" spans="1:4" x14ac:dyDescent="0.35">
      <c r="A69" s="13">
        <v>45</v>
      </c>
      <c r="B69" s="21" t="s">
        <v>171</v>
      </c>
      <c r="C69" s="15">
        <f>9846510974/1000000</f>
        <v>9846.5109740000007</v>
      </c>
      <c r="D69" s="22"/>
    </row>
    <row r="70" spans="1:4" x14ac:dyDescent="0.35">
      <c r="A70" s="498" t="s">
        <v>172</v>
      </c>
      <c r="B70" s="499"/>
      <c r="C70" s="499"/>
      <c r="D70" s="500"/>
    </row>
    <row r="71" spans="1:4" x14ac:dyDescent="0.35">
      <c r="A71" s="6">
        <v>46</v>
      </c>
      <c r="B71" s="16" t="s">
        <v>93</v>
      </c>
      <c r="C71" s="8">
        <f>1498608782/1000000</f>
        <v>1498.608782</v>
      </c>
      <c r="D71" s="22"/>
    </row>
    <row r="72" spans="1:4" ht="24" x14ac:dyDescent="0.35">
      <c r="A72" s="6">
        <v>47</v>
      </c>
      <c r="B72" s="16" t="s">
        <v>173</v>
      </c>
      <c r="C72" s="12">
        <v>0</v>
      </c>
      <c r="D72" s="22"/>
    </row>
    <row r="73" spans="1:4" ht="24" x14ac:dyDescent="0.35">
      <c r="A73" s="6" t="s">
        <v>174</v>
      </c>
      <c r="B73" s="16" t="s">
        <v>175</v>
      </c>
      <c r="C73" s="12">
        <v>0</v>
      </c>
      <c r="D73" s="22"/>
    </row>
    <row r="74" spans="1:4" ht="24" x14ac:dyDescent="0.35">
      <c r="A74" s="6" t="s">
        <v>176</v>
      </c>
      <c r="B74" s="16" t="s">
        <v>177</v>
      </c>
      <c r="C74" s="12">
        <v>0</v>
      </c>
      <c r="D74" s="22"/>
    </row>
    <row r="75" spans="1:4" ht="36" x14ac:dyDescent="0.35">
      <c r="A75" s="6">
        <v>48</v>
      </c>
      <c r="B75" s="16" t="s">
        <v>178</v>
      </c>
      <c r="C75" s="8">
        <f>-114712318/1000000</f>
        <v>-114.712318</v>
      </c>
      <c r="D75" s="22"/>
    </row>
    <row r="76" spans="1:4" x14ac:dyDescent="0.35">
      <c r="A76" s="6">
        <v>49</v>
      </c>
      <c r="B76" s="16" t="s">
        <v>159</v>
      </c>
      <c r="C76" s="8">
        <f>-114712318/1000000</f>
        <v>-114.712318</v>
      </c>
      <c r="D76" s="22"/>
    </row>
    <row r="77" spans="1:4" x14ac:dyDescent="0.35">
      <c r="A77" s="6">
        <v>50</v>
      </c>
      <c r="B77" s="16" t="s">
        <v>179</v>
      </c>
      <c r="C77" s="12">
        <v>0</v>
      </c>
      <c r="D77" s="22"/>
    </row>
    <row r="78" spans="1:4" x14ac:dyDescent="0.35">
      <c r="A78" s="13">
        <v>51</v>
      </c>
      <c r="B78" s="21" t="s">
        <v>180</v>
      </c>
      <c r="C78" s="15">
        <f>1383896464/1000000</f>
        <v>1383.8964639999999</v>
      </c>
      <c r="D78" s="25"/>
    </row>
    <row r="79" spans="1:4" x14ac:dyDescent="0.35">
      <c r="A79" s="498" t="s">
        <v>181</v>
      </c>
      <c r="B79" s="499"/>
      <c r="C79" s="499"/>
      <c r="D79" s="500"/>
    </row>
    <row r="80" spans="1:4" ht="24" x14ac:dyDescent="0.35">
      <c r="A80" s="6">
        <v>52</v>
      </c>
      <c r="B80" s="16" t="s">
        <v>182</v>
      </c>
      <c r="C80" s="23">
        <v>0</v>
      </c>
      <c r="D80" s="22"/>
    </row>
    <row r="81" spans="1:6" ht="48" x14ac:dyDescent="0.35">
      <c r="A81" s="6">
        <v>53</v>
      </c>
      <c r="B81" s="16" t="s">
        <v>183</v>
      </c>
      <c r="C81" s="12">
        <v>0</v>
      </c>
      <c r="D81" s="22"/>
    </row>
    <row r="82" spans="1:6" ht="36" x14ac:dyDescent="0.35">
      <c r="A82" s="6">
        <v>54</v>
      </c>
      <c r="B82" s="16" t="s">
        <v>184</v>
      </c>
      <c r="C82" s="12">
        <v>0</v>
      </c>
      <c r="D82" s="22"/>
    </row>
    <row r="83" spans="1:6" x14ac:dyDescent="0.35">
      <c r="A83" s="6" t="s">
        <v>185</v>
      </c>
      <c r="B83" s="16" t="s">
        <v>115</v>
      </c>
      <c r="C83" s="12" t="s">
        <v>96</v>
      </c>
      <c r="D83" s="22"/>
    </row>
    <row r="84" spans="1:6" ht="36" x14ac:dyDescent="0.35">
      <c r="A84" s="6">
        <v>55</v>
      </c>
      <c r="B84" s="16" t="s">
        <v>186</v>
      </c>
      <c r="C84" s="12">
        <v>0</v>
      </c>
      <c r="D84" s="22"/>
    </row>
    <row r="85" spans="1:6" x14ac:dyDescent="0.35">
      <c r="A85" s="6">
        <v>56</v>
      </c>
      <c r="B85" s="16" t="s">
        <v>115</v>
      </c>
      <c r="C85" s="12" t="s">
        <v>96</v>
      </c>
      <c r="D85" s="22"/>
    </row>
    <row r="86" spans="1:6" ht="24" x14ac:dyDescent="0.35">
      <c r="A86" s="6" t="s">
        <v>187</v>
      </c>
      <c r="B86" s="19" t="s">
        <v>188</v>
      </c>
      <c r="C86" s="12">
        <v>0</v>
      </c>
      <c r="D86" s="22"/>
    </row>
    <row r="87" spans="1:6" x14ac:dyDescent="0.35">
      <c r="A87" s="6" t="s">
        <v>189</v>
      </c>
      <c r="B87" s="19" t="s">
        <v>190</v>
      </c>
      <c r="C87" s="12">
        <v>0</v>
      </c>
      <c r="D87" s="22"/>
    </row>
    <row r="88" spans="1:6" x14ac:dyDescent="0.35">
      <c r="A88" s="13">
        <v>57</v>
      </c>
      <c r="B88" s="26" t="s">
        <v>191</v>
      </c>
      <c r="C88" s="12">
        <v>0</v>
      </c>
      <c r="D88" s="22"/>
    </row>
    <row r="89" spans="1:6" x14ac:dyDescent="0.35">
      <c r="A89" s="13">
        <v>58</v>
      </c>
      <c r="B89" s="26" t="s">
        <v>192</v>
      </c>
      <c r="C89" s="8">
        <f>1383896464/1000000</f>
        <v>1383.8964639999999</v>
      </c>
      <c r="D89" s="22"/>
    </row>
    <row r="90" spans="1:6" x14ac:dyDescent="0.35">
      <c r="A90" s="13">
        <v>59</v>
      </c>
      <c r="B90" s="26" t="s">
        <v>193</v>
      </c>
      <c r="C90" s="8">
        <f>11230407438/1000000</f>
        <v>11230.407438</v>
      </c>
      <c r="D90" s="22"/>
    </row>
    <row r="91" spans="1:6" x14ac:dyDescent="0.35">
      <c r="A91" s="13">
        <v>60</v>
      </c>
      <c r="B91" s="26" t="s">
        <v>194</v>
      </c>
      <c r="C91" s="15">
        <f>62942737357/1000000</f>
        <v>62942.737356999998</v>
      </c>
      <c r="D91" s="25"/>
    </row>
    <row r="92" spans="1:6" x14ac:dyDescent="0.35">
      <c r="A92" s="498" t="s">
        <v>195</v>
      </c>
      <c r="B92" s="499" t="s">
        <v>195</v>
      </c>
      <c r="C92" s="499"/>
      <c r="D92" s="500"/>
      <c r="F92" s="27"/>
    </row>
    <row r="93" spans="1:6" x14ac:dyDescent="0.35">
      <c r="A93" s="6">
        <v>61</v>
      </c>
      <c r="B93" s="16" t="s">
        <v>196</v>
      </c>
      <c r="C93" s="28">
        <f>C48/C91</f>
        <v>0.14527442171980909</v>
      </c>
      <c r="D93" s="22"/>
    </row>
    <row r="94" spans="1:6" x14ac:dyDescent="0.35">
      <c r="A94" s="6">
        <v>62</v>
      </c>
      <c r="B94" s="16" t="s">
        <v>197</v>
      </c>
      <c r="C94" s="29">
        <v>0.15643599999999999</v>
      </c>
      <c r="D94" s="22"/>
    </row>
    <row r="95" spans="1:6" x14ac:dyDescent="0.35">
      <c r="A95" s="6">
        <v>63</v>
      </c>
      <c r="B95" s="16" t="s">
        <v>198</v>
      </c>
      <c r="C95" s="29">
        <f>C90/C91</f>
        <v>0.17842260933621507</v>
      </c>
      <c r="D95" s="17"/>
    </row>
    <row r="96" spans="1:6" x14ac:dyDescent="0.35">
      <c r="A96" s="6">
        <v>64</v>
      </c>
      <c r="B96" s="16" t="s">
        <v>199</v>
      </c>
      <c r="C96" s="29">
        <v>8.1199999999999994E-2</v>
      </c>
      <c r="D96" s="22"/>
    </row>
    <row r="97" spans="1:4" x14ac:dyDescent="0.35">
      <c r="A97" s="6">
        <v>65</v>
      </c>
      <c r="B97" s="19" t="s">
        <v>200</v>
      </c>
      <c r="C97" s="29">
        <v>2.5000000000000001E-2</v>
      </c>
      <c r="D97" s="22"/>
    </row>
    <row r="98" spans="1:4" x14ac:dyDescent="0.35">
      <c r="A98" s="6">
        <v>66</v>
      </c>
      <c r="B98" s="19" t="s">
        <v>201</v>
      </c>
      <c r="C98" s="30">
        <v>0</v>
      </c>
      <c r="D98" s="22"/>
    </row>
    <row r="99" spans="1:4" x14ac:dyDescent="0.35">
      <c r="A99" s="6">
        <v>67</v>
      </c>
      <c r="B99" s="19" t="s">
        <v>202</v>
      </c>
      <c r="C99" s="30">
        <v>0</v>
      </c>
      <c r="D99" s="22"/>
    </row>
    <row r="100" spans="1:4" x14ac:dyDescent="0.35">
      <c r="A100" s="6" t="s">
        <v>203</v>
      </c>
      <c r="B100" s="16" t="s">
        <v>204</v>
      </c>
      <c r="C100" s="30">
        <v>0</v>
      </c>
      <c r="D100" s="22"/>
    </row>
    <row r="101" spans="1:4" ht="24" x14ac:dyDescent="0.35">
      <c r="A101" s="6" t="s">
        <v>205</v>
      </c>
      <c r="B101" s="16" t="s">
        <v>206</v>
      </c>
      <c r="C101" s="30">
        <f>0.01119678425</f>
        <v>1.1196784249999999E-2</v>
      </c>
      <c r="D101" s="22"/>
    </row>
    <row r="102" spans="1:4" ht="36" x14ac:dyDescent="0.35">
      <c r="A102" s="6">
        <v>68</v>
      </c>
      <c r="B102" s="21" t="s">
        <v>207</v>
      </c>
      <c r="C102" s="30">
        <v>8.9177999999999993E-2</v>
      </c>
      <c r="D102" s="22"/>
    </row>
    <row r="103" spans="1:4" x14ac:dyDescent="0.35">
      <c r="A103" s="6">
        <v>69</v>
      </c>
      <c r="B103" s="31" t="s">
        <v>115</v>
      </c>
      <c r="C103" s="32"/>
      <c r="D103" s="19"/>
    </row>
    <row r="104" spans="1:4" x14ac:dyDescent="0.35">
      <c r="A104" s="6">
        <v>70</v>
      </c>
      <c r="B104" s="31" t="s">
        <v>115</v>
      </c>
      <c r="C104" s="33"/>
      <c r="D104" s="19"/>
    </row>
    <row r="105" spans="1:4" x14ac:dyDescent="0.35">
      <c r="A105" s="6">
        <v>71</v>
      </c>
      <c r="B105" s="31" t="s">
        <v>115</v>
      </c>
      <c r="C105" s="33"/>
      <c r="D105" s="19"/>
    </row>
    <row r="106" spans="1:4" x14ac:dyDescent="0.35">
      <c r="A106" s="498" t="s">
        <v>208</v>
      </c>
      <c r="B106" s="499"/>
      <c r="C106" s="499"/>
      <c r="D106" s="500"/>
    </row>
    <row r="107" spans="1:4" ht="36" x14ac:dyDescent="0.35">
      <c r="A107" s="34">
        <v>72</v>
      </c>
      <c r="B107" s="35" t="s">
        <v>209</v>
      </c>
      <c r="C107" s="8">
        <f>1070409027/1000000</f>
        <v>1070.4090269999999</v>
      </c>
      <c r="D107" s="36"/>
    </row>
    <row r="108" spans="1:4" ht="36" x14ac:dyDescent="0.35">
      <c r="A108" s="6">
        <v>73</v>
      </c>
      <c r="B108" s="16" t="s">
        <v>210</v>
      </c>
      <c r="C108" s="8">
        <f>486940346/1000000</f>
        <v>486.94034599999998</v>
      </c>
      <c r="D108" s="22"/>
    </row>
    <row r="109" spans="1:4" x14ac:dyDescent="0.35">
      <c r="A109" s="6">
        <v>74</v>
      </c>
      <c r="B109" s="16" t="s">
        <v>115</v>
      </c>
      <c r="C109" s="12" t="s">
        <v>96</v>
      </c>
      <c r="D109" s="22"/>
    </row>
    <row r="110" spans="1:4" ht="24" x14ac:dyDescent="0.35">
      <c r="A110" s="6">
        <v>75</v>
      </c>
      <c r="B110" s="16" t="s">
        <v>211</v>
      </c>
      <c r="C110" s="12">
        <v>0</v>
      </c>
      <c r="D110" s="22"/>
    </row>
    <row r="111" spans="1:4" x14ac:dyDescent="0.35">
      <c r="A111" s="498" t="s">
        <v>212</v>
      </c>
      <c r="B111" s="499"/>
      <c r="C111" s="499"/>
      <c r="D111" s="500"/>
    </row>
    <row r="112" spans="1:4" ht="24" x14ac:dyDescent="0.35">
      <c r="A112" s="6">
        <v>76</v>
      </c>
      <c r="B112" s="16" t="s">
        <v>213</v>
      </c>
      <c r="C112" s="33">
        <v>0</v>
      </c>
      <c r="D112" s="19"/>
    </row>
    <row r="113" spans="1:4" ht="24" x14ac:dyDescent="0.35">
      <c r="A113" s="6">
        <v>77</v>
      </c>
      <c r="B113" s="16" t="s">
        <v>214</v>
      </c>
      <c r="C113" s="33">
        <v>0</v>
      </c>
      <c r="D113" s="19"/>
    </row>
    <row r="114" spans="1:4" ht="24" x14ac:dyDescent="0.35">
      <c r="A114" s="6">
        <v>78</v>
      </c>
      <c r="B114" s="16" t="s">
        <v>215</v>
      </c>
      <c r="C114" s="33">
        <v>0</v>
      </c>
      <c r="D114" s="19"/>
    </row>
    <row r="115" spans="1:4" x14ac:dyDescent="0.35">
      <c r="A115" s="6">
        <v>79</v>
      </c>
      <c r="B115" s="16" t="s">
        <v>216</v>
      </c>
      <c r="C115" s="33">
        <v>0</v>
      </c>
      <c r="D115" s="19"/>
    </row>
    <row r="116" spans="1:4" x14ac:dyDescent="0.35">
      <c r="A116" s="501" t="s">
        <v>217</v>
      </c>
      <c r="B116" s="502"/>
      <c r="C116" s="502"/>
      <c r="D116" s="503"/>
    </row>
    <row r="117" spans="1:4" x14ac:dyDescent="0.35">
      <c r="A117" s="6">
        <v>80</v>
      </c>
      <c r="B117" s="16" t="s">
        <v>218</v>
      </c>
      <c r="C117" s="37"/>
      <c r="D117" s="19"/>
    </row>
    <row r="118" spans="1:4" ht="24" x14ac:dyDescent="0.35">
      <c r="A118" s="6">
        <v>81</v>
      </c>
      <c r="B118" s="16" t="s">
        <v>219</v>
      </c>
      <c r="C118" s="37"/>
      <c r="D118" s="19"/>
    </row>
    <row r="119" spans="1:4" x14ac:dyDescent="0.35">
      <c r="A119" s="6">
        <v>82</v>
      </c>
      <c r="B119" s="24" t="s">
        <v>220</v>
      </c>
      <c r="C119" s="33"/>
      <c r="D119" s="19"/>
    </row>
    <row r="120" spans="1:4" ht="24" x14ac:dyDescent="0.35">
      <c r="A120" s="6">
        <v>83</v>
      </c>
      <c r="B120" s="16" t="s">
        <v>221</v>
      </c>
      <c r="C120" s="33"/>
      <c r="D120" s="19"/>
    </row>
    <row r="121" spans="1:4" x14ac:dyDescent="0.35">
      <c r="A121" s="6">
        <v>84</v>
      </c>
      <c r="B121" s="16" t="s">
        <v>222</v>
      </c>
      <c r="C121" s="33"/>
      <c r="D121" s="19"/>
    </row>
    <row r="122" spans="1:4" ht="24" x14ac:dyDescent="0.35">
      <c r="A122" s="6">
        <v>85</v>
      </c>
      <c r="B122" s="16" t="s">
        <v>223</v>
      </c>
      <c r="C122" s="33"/>
      <c r="D122" s="19"/>
    </row>
  </sheetData>
  <mergeCells count="10">
    <mergeCell ref="A92:D92"/>
    <mergeCell ref="A106:D106"/>
    <mergeCell ref="A111:D111"/>
    <mergeCell ref="A116:D116"/>
    <mergeCell ref="A6:D6"/>
    <mergeCell ref="A18:D18"/>
    <mergeCell ref="A49:D49"/>
    <mergeCell ref="A59:D59"/>
    <mergeCell ref="A70:D70"/>
    <mergeCell ref="A79:D7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FEFF-F669-41E3-B804-7C04EB7C410C}">
  <dimension ref="A2:D48"/>
  <sheetViews>
    <sheetView workbookViewId="0"/>
  </sheetViews>
  <sheetFormatPr defaultRowHeight="14.5" x14ac:dyDescent="0.35"/>
  <cols>
    <col min="1" max="1" width="45" customWidth="1"/>
    <col min="2" max="2" width="22.1796875" customWidth="1"/>
    <col min="3" max="3" width="22.7265625" customWidth="1"/>
    <col min="4" max="4" width="48" customWidth="1"/>
  </cols>
  <sheetData>
    <row r="2" spans="1:4" ht="18.5" x14ac:dyDescent="0.35">
      <c r="A2" s="1" t="s">
        <v>224</v>
      </c>
    </row>
    <row r="3" spans="1:4" x14ac:dyDescent="0.35">
      <c r="A3" s="507" t="s">
        <v>225</v>
      </c>
      <c r="B3" s="507"/>
      <c r="C3" s="507"/>
      <c r="D3" s="507"/>
    </row>
    <row r="4" spans="1:4" x14ac:dyDescent="0.35">
      <c r="A4" s="507"/>
      <c r="B4" s="507"/>
      <c r="C4" s="507"/>
      <c r="D4" s="507"/>
    </row>
    <row r="5" spans="1:4" x14ac:dyDescent="0.35">
      <c r="A5" s="507"/>
      <c r="B5" s="507"/>
      <c r="C5" s="507"/>
      <c r="D5" s="507"/>
    </row>
    <row r="6" spans="1:4" x14ac:dyDescent="0.35">
      <c r="A6" s="38"/>
      <c r="B6" s="39" t="s">
        <v>226</v>
      </c>
      <c r="C6" s="40" t="s">
        <v>227</v>
      </c>
      <c r="D6" s="40" t="s">
        <v>228</v>
      </c>
    </row>
    <row r="7" spans="1:4" ht="43.5" x14ac:dyDescent="0.35">
      <c r="A7" s="41" t="s">
        <v>62</v>
      </c>
      <c r="B7" s="42" t="s">
        <v>229</v>
      </c>
      <c r="C7" s="43" t="s">
        <v>230</v>
      </c>
      <c r="D7" s="43" t="s">
        <v>231</v>
      </c>
    </row>
    <row r="8" spans="1:4" x14ac:dyDescent="0.35">
      <c r="A8" s="38"/>
      <c r="B8" s="42" t="s">
        <v>232</v>
      </c>
      <c r="C8" s="42" t="s">
        <v>232</v>
      </c>
      <c r="D8" s="43"/>
    </row>
    <row r="9" spans="1:4" x14ac:dyDescent="0.35">
      <c r="A9" s="508" t="s">
        <v>233</v>
      </c>
      <c r="B9" s="509"/>
      <c r="C9" s="509"/>
      <c r="D9" s="510"/>
    </row>
    <row r="10" spans="1:4" x14ac:dyDescent="0.35">
      <c r="A10" s="44" t="s">
        <v>234</v>
      </c>
      <c r="B10" s="46">
        <f>9521675547/1000000</f>
        <v>9521.6755470000007</v>
      </c>
      <c r="C10" s="46">
        <f>+B10</f>
        <v>9521.6755470000007</v>
      </c>
      <c r="D10" s="45" t="s">
        <v>96</v>
      </c>
    </row>
    <row r="11" spans="1:4" x14ac:dyDescent="0.35">
      <c r="A11" s="44" t="s">
        <v>235</v>
      </c>
      <c r="B11" s="46">
        <f>619143220/1000000</f>
        <v>619.14322000000004</v>
      </c>
      <c r="C11" s="46">
        <f t="shared" ref="C11:C45" si="0">+B11</f>
        <v>619.14322000000004</v>
      </c>
      <c r="D11" s="45" t="s">
        <v>96</v>
      </c>
    </row>
    <row r="12" spans="1:4" x14ac:dyDescent="0.35">
      <c r="A12" s="44" t="s">
        <v>236</v>
      </c>
      <c r="B12" s="46">
        <f>44312778006/1000000</f>
        <v>44312.778006</v>
      </c>
      <c r="C12" s="46">
        <f t="shared" si="0"/>
        <v>44312.778006</v>
      </c>
      <c r="D12" s="45" t="s">
        <v>96</v>
      </c>
    </row>
    <row r="13" spans="1:4" x14ac:dyDescent="0.35">
      <c r="A13" s="44" t="s">
        <v>237</v>
      </c>
      <c r="B13" s="46">
        <f>29336597736/1000000</f>
        <v>29336.597736</v>
      </c>
      <c r="C13" s="46">
        <f t="shared" si="0"/>
        <v>29336.597736</v>
      </c>
      <c r="D13" s="45" t="s">
        <v>96</v>
      </c>
    </row>
    <row r="14" spans="1:4" x14ac:dyDescent="0.35">
      <c r="A14" s="44" t="s">
        <v>238</v>
      </c>
      <c r="B14" s="46">
        <f>2036354680/1000000</f>
        <v>2036.3546799999999</v>
      </c>
      <c r="C14" s="46">
        <f t="shared" si="0"/>
        <v>2036.3546799999999</v>
      </c>
      <c r="D14" s="45" t="s">
        <v>96</v>
      </c>
    </row>
    <row r="15" spans="1:4" x14ac:dyDescent="0.35">
      <c r="A15" s="44" t="s">
        <v>239</v>
      </c>
      <c r="B15" s="46">
        <f>141845333/1000000</f>
        <v>141.84533300000001</v>
      </c>
      <c r="C15" s="46">
        <f t="shared" si="0"/>
        <v>141.84533300000001</v>
      </c>
      <c r="D15" s="45" t="s">
        <v>96</v>
      </c>
    </row>
    <row r="16" spans="1:4" x14ac:dyDescent="0.35">
      <c r="A16" s="44" t="s">
        <v>240</v>
      </c>
      <c r="B16" s="46">
        <f>15467789447/1000000</f>
        <v>15467.789446999999</v>
      </c>
      <c r="C16" s="46">
        <f t="shared" si="0"/>
        <v>15467.789446999999</v>
      </c>
      <c r="D16" s="45" t="s">
        <v>96</v>
      </c>
    </row>
    <row r="17" spans="1:4" x14ac:dyDescent="0.35">
      <c r="A17" s="44" t="s">
        <v>241</v>
      </c>
      <c r="B17" s="46">
        <f>231610582/1000000</f>
        <v>231.61058199999999</v>
      </c>
      <c r="C17" s="46">
        <f t="shared" si="0"/>
        <v>231.61058199999999</v>
      </c>
      <c r="D17" s="45" t="s">
        <v>242</v>
      </c>
    </row>
    <row r="18" spans="1:4" x14ac:dyDescent="0.35">
      <c r="A18" s="44" t="s">
        <v>243</v>
      </c>
      <c r="B18" s="46">
        <f>1978272244/1000000</f>
        <v>1978.272244</v>
      </c>
      <c r="C18" s="46">
        <f t="shared" si="0"/>
        <v>1978.272244</v>
      </c>
      <c r="D18" s="45" t="s">
        <v>96</v>
      </c>
    </row>
    <row r="19" spans="1:4" x14ac:dyDescent="0.35">
      <c r="A19" s="44" t="s">
        <v>244</v>
      </c>
      <c r="B19" s="46">
        <f>160479358/1000000</f>
        <v>160.47935799999999</v>
      </c>
      <c r="C19" s="46">
        <f t="shared" si="0"/>
        <v>160.47935799999999</v>
      </c>
      <c r="D19" s="45" t="s">
        <v>96</v>
      </c>
    </row>
    <row r="20" spans="1:4" x14ac:dyDescent="0.35">
      <c r="A20" s="44" t="s">
        <v>245</v>
      </c>
      <c r="B20" s="46">
        <f>23185025/1000000</f>
        <v>23.185025</v>
      </c>
      <c r="C20" s="46">
        <f t="shared" si="0"/>
        <v>23.185025</v>
      </c>
      <c r="D20" s="45" t="s">
        <v>96</v>
      </c>
    </row>
    <row r="21" spans="1:4" x14ac:dyDescent="0.35">
      <c r="A21" s="44" t="s">
        <v>246</v>
      </c>
      <c r="B21" s="46">
        <f>252785703/1000000</f>
        <v>252.78570300000001</v>
      </c>
      <c r="C21" s="46">
        <f t="shared" si="0"/>
        <v>252.78570300000001</v>
      </c>
      <c r="D21" s="45" t="s">
        <v>247</v>
      </c>
    </row>
    <row r="22" spans="1:4" x14ac:dyDescent="0.35">
      <c r="A22" s="44" t="s">
        <v>248</v>
      </c>
      <c r="B22" s="46">
        <f>81246545/1000000</f>
        <v>81.246544999999998</v>
      </c>
      <c r="C22" s="46">
        <f t="shared" si="0"/>
        <v>81.246544999999998</v>
      </c>
      <c r="D22" s="45" t="s">
        <v>96</v>
      </c>
    </row>
    <row r="23" spans="1:4" x14ac:dyDescent="0.35">
      <c r="A23" s="44" t="s">
        <v>249</v>
      </c>
      <c r="B23" s="46">
        <f>1790863224/1000000</f>
        <v>1790.8632239999999</v>
      </c>
      <c r="C23" s="46">
        <f t="shared" si="0"/>
        <v>1790.8632239999999</v>
      </c>
      <c r="D23" s="45" t="s">
        <v>96</v>
      </c>
    </row>
    <row r="24" spans="1:4" x14ac:dyDescent="0.35">
      <c r="A24" s="44" t="s">
        <v>250</v>
      </c>
      <c r="B24" s="46">
        <f>131878044/1000000</f>
        <v>131.87804399999999</v>
      </c>
      <c r="C24" s="46">
        <f t="shared" si="0"/>
        <v>131.87804399999999</v>
      </c>
      <c r="D24" s="45" t="s">
        <v>96</v>
      </c>
    </row>
    <row r="25" spans="1:4" x14ac:dyDescent="0.35">
      <c r="A25" s="47"/>
      <c r="B25" s="48">
        <f>106086504694/1000000</f>
        <v>106086.504694</v>
      </c>
      <c r="C25" s="48">
        <f t="shared" si="0"/>
        <v>106086.504694</v>
      </c>
      <c r="D25" s="49"/>
    </row>
    <row r="26" spans="1:4" x14ac:dyDescent="0.35">
      <c r="A26" s="511" t="s">
        <v>251</v>
      </c>
      <c r="B26" s="511"/>
      <c r="C26" s="511"/>
      <c r="D26" s="511"/>
    </row>
    <row r="27" spans="1:4" x14ac:dyDescent="0.35">
      <c r="A27" s="44" t="s">
        <v>252</v>
      </c>
      <c r="B27" s="46">
        <f>600639678/1000000</f>
        <v>600.639678</v>
      </c>
      <c r="C27" s="46">
        <f t="shared" si="0"/>
        <v>600.639678</v>
      </c>
      <c r="D27" s="50" t="s">
        <v>96</v>
      </c>
    </row>
    <row r="28" spans="1:4" x14ac:dyDescent="0.35">
      <c r="A28" s="44" t="s">
        <v>253</v>
      </c>
      <c r="B28" s="46">
        <f>73098637661/1000000</f>
        <v>73098.637661000001</v>
      </c>
      <c r="C28" s="46">
        <f t="shared" si="0"/>
        <v>73098.637661000001</v>
      </c>
      <c r="D28" s="50" t="s">
        <v>96</v>
      </c>
    </row>
    <row r="29" spans="1:4" x14ac:dyDescent="0.35">
      <c r="A29" s="44" t="s">
        <v>254</v>
      </c>
      <c r="B29" s="46">
        <f>15467789447/1000000</f>
        <v>15467.789446999999</v>
      </c>
      <c r="C29" s="46">
        <f t="shared" si="0"/>
        <v>15467.789446999999</v>
      </c>
      <c r="D29" s="50" t="s">
        <v>96</v>
      </c>
    </row>
    <row r="30" spans="1:4" x14ac:dyDescent="0.35">
      <c r="A30" s="44" t="s">
        <v>255</v>
      </c>
      <c r="B30" s="46">
        <f>348646441/1000000</f>
        <v>348.64644099999998</v>
      </c>
      <c r="C30" s="46">
        <f t="shared" si="0"/>
        <v>348.64644099999998</v>
      </c>
      <c r="D30" s="50" t="s">
        <v>96</v>
      </c>
    </row>
    <row r="31" spans="1:4" x14ac:dyDescent="0.35">
      <c r="A31" s="44" t="s">
        <v>256</v>
      </c>
      <c r="B31" s="46">
        <f>120969760/1000000</f>
        <v>120.96975999999999</v>
      </c>
      <c r="C31" s="46">
        <f t="shared" si="0"/>
        <v>120.96975999999999</v>
      </c>
      <c r="D31" s="50" t="s">
        <v>96</v>
      </c>
    </row>
    <row r="32" spans="1:4" x14ac:dyDescent="0.35">
      <c r="A32" s="44" t="s">
        <v>257</v>
      </c>
      <c r="B32" s="46">
        <f>3141651791/1000000</f>
        <v>3141.6517909999998</v>
      </c>
      <c r="C32" s="46">
        <f t="shared" si="0"/>
        <v>3141.6517909999998</v>
      </c>
      <c r="D32" s="50" t="s">
        <v>96</v>
      </c>
    </row>
    <row r="33" spans="1:4" x14ac:dyDescent="0.35">
      <c r="A33" s="44" t="s">
        <v>250</v>
      </c>
      <c r="B33" s="46">
        <f>84806133/1000000</f>
        <v>84.806133000000003</v>
      </c>
      <c r="C33" s="46">
        <f t="shared" si="0"/>
        <v>84.806133000000003</v>
      </c>
      <c r="D33" s="50" t="s">
        <v>96</v>
      </c>
    </row>
    <row r="34" spans="1:4" x14ac:dyDescent="0.35">
      <c r="A34" s="44" t="s">
        <v>258</v>
      </c>
      <c r="B34" s="46">
        <f>252628189/1000000</f>
        <v>252.62818899999999</v>
      </c>
      <c r="C34" s="46">
        <f t="shared" si="0"/>
        <v>252.62818899999999</v>
      </c>
      <c r="D34" s="50" t="s">
        <v>96</v>
      </c>
    </row>
    <row r="35" spans="1:4" x14ac:dyDescent="0.35">
      <c r="A35" s="44" t="s">
        <v>259</v>
      </c>
      <c r="B35" s="46">
        <f>1498608782/1000000</f>
        <v>1498.608782</v>
      </c>
      <c r="C35" s="46">
        <f t="shared" si="0"/>
        <v>1498.608782</v>
      </c>
      <c r="D35" s="50" t="s">
        <v>96</v>
      </c>
    </row>
    <row r="36" spans="1:4" x14ac:dyDescent="0.35">
      <c r="A36" s="44"/>
      <c r="B36" s="48">
        <f>94614377884/1000000</f>
        <v>94614.377884000001</v>
      </c>
      <c r="C36" s="48">
        <f t="shared" si="0"/>
        <v>94614.377884000001</v>
      </c>
      <c r="D36" s="50" t="s">
        <v>96</v>
      </c>
    </row>
    <row r="37" spans="1:4" x14ac:dyDescent="0.35">
      <c r="A37" s="512" t="s">
        <v>260</v>
      </c>
      <c r="B37" s="513"/>
      <c r="C37" s="513"/>
      <c r="D37" s="514"/>
    </row>
    <row r="38" spans="1:4" x14ac:dyDescent="0.35">
      <c r="A38" s="44" t="s">
        <v>261</v>
      </c>
      <c r="B38" s="46">
        <f>9295981630.05/1000000</f>
        <v>9295.9816300499988</v>
      </c>
      <c r="C38" s="46">
        <f t="shared" si="0"/>
        <v>9295.9816300499988</v>
      </c>
      <c r="D38" s="51" t="s">
        <v>96</v>
      </c>
    </row>
    <row r="39" spans="1:4" x14ac:dyDescent="0.35">
      <c r="A39" s="52" t="s">
        <v>262</v>
      </c>
      <c r="B39" s="46">
        <f>2100000000/1000000</f>
        <v>2100</v>
      </c>
      <c r="C39" s="46">
        <f t="shared" si="0"/>
        <v>2100</v>
      </c>
      <c r="D39" s="53" t="s">
        <v>263</v>
      </c>
    </row>
    <row r="40" spans="1:4" x14ac:dyDescent="0.35">
      <c r="A40" s="52" t="s">
        <v>264</v>
      </c>
      <c r="B40" s="46">
        <f>980455617/1000000</f>
        <v>980.45561699999996</v>
      </c>
      <c r="C40" s="46">
        <f t="shared" si="0"/>
        <v>980.45561699999996</v>
      </c>
      <c r="D40" s="53" t="s">
        <v>265</v>
      </c>
    </row>
    <row r="41" spans="1:4" x14ac:dyDescent="0.35">
      <c r="A41" s="52" t="s">
        <v>266</v>
      </c>
      <c r="B41" s="46">
        <f>6215526013/1000000</f>
        <v>6215.5260129999997</v>
      </c>
      <c r="C41" s="46">
        <f t="shared" si="0"/>
        <v>6215.5260129999997</v>
      </c>
      <c r="D41" s="53" t="s">
        <v>267</v>
      </c>
    </row>
    <row r="42" spans="1:4" x14ac:dyDescent="0.35">
      <c r="A42" s="44" t="s">
        <v>268</v>
      </c>
      <c r="B42" s="46">
        <f>748654927/1000000</f>
        <v>748.65492700000004</v>
      </c>
      <c r="C42" s="46">
        <f t="shared" si="0"/>
        <v>748.65492700000004</v>
      </c>
      <c r="D42" s="53" t="s">
        <v>269</v>
      </c>
    </row>
    <row r="43" spans="1:4" x14ac:dyDescent="0.35">
      <c r="A43" s="44" t="s">
        <v>270</v>
      </c>
      <c r="B43" s="46">
        <f>1427490253/1000000</f>
        <v>1427.4902529999999</v>
      </c>
      <c r="C43" s="46">
        <f t="shared" si="0"/>
        <v>1427.4902529999999</v>
      </c>
      <c r="D43" s="53" t="s">
        <v>271</v>
      </c>
    </row>
    <row r="44" spans="1:4" x14ac:dyDescent="0.35">
      <c r="A44" s="52" t="s">
        <v>272</v>
      </c>
      <c r="B44" s="48">
        <f>11472126811/1000000</f>
        <v>11472.126811</v>
      </c>
      <c r="C44" s="46">
        <f t="shared" si="0"/>
        <v>11472.126811</v>
      </c>
      <c r="D44" s="54" t="s">
        <v>96</v>
      </c>
    </row>
    <row r="45" spans="1:4" x14ac:dyDescent="0.35">
      <c r="A45" s="55" t="s">
        <v>273</v>
      </c>
      <c r="B45" s="48">
        <f>106086504694/1000000</f>
        <v>106086.504694</v>
      </c>
      <c r="C45" s="48">
        <f t="shared" si="0"/>
        <v>106086.504694</v>
      </c>
      <c r="D45" s="44"/>
    </row>
    <row r="47" spans="1:4" x14ac:dyDescent="0.35">
      <c r="B47" s="56"/>
    </row>
    <row r="48" spans="1:4" x14ac:dyDescent="0.35">
      <c r="B48" s="56"/>
    </row>
  </sheetData>
  <mergeCells count="4">
    <mergeCell ref="A3:D5"/>
    <mergeCell ref="A9:D9"/>
    <mergeCell ref="A26:D26"/>
    <mergeCell ref="A37:D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62A7-32AC-43F1-B4C8-603DFAAF9D4F}">
  <dimension ref="A2:O12"/>
  <sheetViews>
    <sheetView topLeftCell="B1" workbookViewId="0">
      <selection activeCell="B1" sqref="B1"/>
    </sheetView>
  </sheetViews>
  <sheetFormatPr defaultRowHeight="14.5" x14ac:dyDescent="0.35"/>
  <cols>
    <col min="1" max="1" width="3.7265625" hidden="1" customWidth="1"/>
    <col min="2" max="2" width="9.453125" customWidth="1"/>
    <col min="3" max="3" width="14.1796875" customWidth="1"/>
    <col min="4" max="4" width="11.453125" customWidth="1"/>
    <col min="5" max="5" width="18.81640625" customWidth="1"/>
    <col min="6" max="6" width="12.26953125" customWidth="1"/>
    <col min="7" max="7" width="12.453125" customWidth="1"/>
    <col min="8" max="8" width="11.81640625" customWidth="1"/>
    <col min="9" max="9" width="14.81640625" customWidth="1"/>
    <col min="10" max="10" width="14" customWidth="1"/>
    <col min="11" max="11" width="13.1796875" customWidth="1"/>
    <col min="12" max="12" width="10.54296875" customWidth="1"/>
    <col min="13" max="13" width="11.54296875" customWidth="1"/>
    <col min="14" max="14" width="11.1796875" customWidth="1"/>
    <col min="15" max="15" width="5.54296875" customWidth="1"/>
  </cols>
  <sheetData>
    <row r="2" spans="1:15" ht="18.5" x14ac:dyDescent="0.35">
      <c r="B2" s="58" t="s">
        <v>274</v>
      </c>
    </row>
    <row r="3" spans="1:15" ht="18.5" x14ac:dyDescent="0.35">
      <c r="B3" s="58"/>
    </row>
    <row r="5" spans="1:15" x14ac:dyDescent="0.35">
      <c r="A5" s="59"/>
      <c r="B5" s="59"/>
      <c r="C5" s="60" t="s">
        <v>226</v>
      </c>
      <c r="D5" s="60" t="s">
        <v>227</v>
      </c>
      <c r="E5" s="60" t="s">
        <v>228</v>
      </c>
      <c r="F5" s="60" t="s">
        <v>275</v>
      </c>
      <c r="G5" s="60" t="s">
        <v>276</v>
      </c>
      <c r="H5" s="60" t="s">
        <v>277</v>
      </c>
      <c r="I5" s="60" t="s">
        <v>278</v>
      </c>
      <c r="J5" s="60" t="s">
        <v>279</v>
      </c>
      <c r="K5" s="60" t="s">
        <v>280</v>
      </c>
      <c r="L5" s="60" t="s">
        <v>281</v>
      </c>
      <c r="M5" s="60" t="s">
        <v>282</v>
      </c>
      <c r="N5" s="60" t="s">
        <v>283</v>
      </c>
      <c r="O5" s="60" t="s">
        <v>284</v>
      </c>
    </row>
    <row r="6" spans="1:15" x14ac:dyDescent="0.35">
      <c r="A6" s="61"/>
      <c r="B6" s="61"/>
      <c r="C6" s="518" t="s">
        <v>285</v>
      </c>
      <c r="D6" s="519"/>
      <c r="E6" s="518" t="s">
        <v>286</v>
      </c>
      <c r="F6" s="519"/>
      <c r="G6" s="515" t="s">
        <v>287</v>
      </c>
      <c r="H6" s="515" t="s">
        <v>288</v>
      </c>
      <c r="I6" s="518" t="s">
        <v>289</v>
      </c>
      <c r="J6" s="522"/>
      <c r="K6" s="522"/>
      <c r="L6" s="519"/>
      <c r="M6" s="515" t="s">
        <v>290</v>
      </c>
      <c r="N6" s="515" t="s">
        <v>291</v>
      </c>
      <c r="O6" s="515" t="s">
        <v>292</v>
      </c>
    </row>
    <row r="7" spans="1:15" ht="21.75" customHeight="1" x14ac:dyDescent="0.35">
      <c r="A7" s="61"/>
      <c r="B7" s="61"/>
      <c r="C7" s="520"/>
      <c r="D7" s="521"/>
      <c r="E7" s="520"/>
      <c r="F7" s="521"/>
      <c r="G7" s="516"/>
      <c r="H7" s="516"/>
      <c r="I7" s="520"/>
      <c r="J7" s="523"/>
      <c r="K7" s="523"/>
      <c r="L7" s="524"/>
      <c r="M7" s="516"/>
      <c r="N7" s="516"/>
      <c r="O7" s="516"/>
    </row>
    <row r="8" spans="1:15" s="65" customFormat="1" ht="84" x14ac:dyDescent="0.35">
      <c r="A8" s="62"/>
      <c r="B8" s="62" t="s">
        <v>62</v>
      </c>
      <c r="C8" s="63" t="s">
        <v>293</v>
      </c>
      <c r="D8" s="63" t="s">
        <v>294</v>
      </c>
      <c r="E8" s="63" t="s">
        <v>295</v>
      </c>
      <c r="F8" s="63" t="s">
        <v>296</v>
      </c>
      <c r="G8" s="517"/>
      <c r="H8" s="517"/>
      <c r="I8" s="64" t="s">
        <v>297</v>
      </c>
      <c r="J8" s="64" t="s">
        <v>298</v>
      </c>
      <c r="K8" s="64" t="s">
        <v>299</v>
      </c>
      <c r="L8" s="63" t="s">
        <v>300</v>
      </c>
      <c r="M8" s="517"/>
      <c r="N8" s="517"/>
      <c r="O8" s="517"/>
    </row>
    <row r="9" spans="1:15" x14ac:dyDescent="0.35">
      <c r="A9" s="66" t="s">
        <v>301</v>
      </c>
      <c r="B9" s="67" t="s">
        <v>302</v>
      </c>
      <c r="C9" s="68"/>
      <c r="D9" s="68"/>
      <c r="E9" s="68"/>
      <c r="F9" s="68"/>
      <c r="G9" s="68"/>
      <c r="H9" s="68"/>
      <c r="I9" s="68"/>
      <c r="J9" s="68"/>
      <c r="K9" s="68"/>
      <c r="L9" s="68"/>
      <c r="M9" s="68"/>
      <c r="N9" s="69"/>
      <c r="O9" s="69"/>
    </row>
    <row r="10" spans="1:15" x14ac:dyDescent="0.35">
      <c r="A10" s="59"/>
      <c r="B10" s="70" t="s">
        <v>303</v>
      </c>
      <c r="C10" s="71">
        <f>72678393875/1000000</f>
        <v>72678.393874999994</v>
      </c>
      <c r="D10" s="71">
        <v>0</v>
      </c>
      <c r="E10" s="71">
        <f>26018972203/1000000</f>
        <v>26018.972203000001</v>
      </c>
      <c r="F10" s="71">
        <v>0</v>
      </c>
      <c r="G10" s="71">
        <v>0</v>
      </c>
      <c r="H10" s="71">
        <f>+C10+E10</f>
        <v>98697.366077999992</v>
      </c>
      <c r="I10" s="71">
        <f>3812809827/1000000</f>
        <v>3812.809827</v>
      </c>
      <c r="J10" s="71">
        <f>281335096.3/1000000</f>
        <v>281.33509630000003</v>
      </c>
      <c r="K10" s="71">
        <v>0</v>
      </c>
      <c r="L10" s="71">
        <f>+I10+J10+K10</f>
        <v>4094.1449233000003</v>
      </c>
      <c r="M10" s="71">
        <f>51176811541/1000000</f>
        <v>51176.811541000003</v>
      </c>
      <c r="N10" s="72">
        <v>0.95484246299999997</v>
      </c>
      <c r="O10" s="71">
        <v>0</v>
      </c>
    </row>
    <row r="11" spans="1:15" x14ac:dyDescent="0.35">
      <c r="A11" s="59"/>
      <c r="B11" s="73" t="s">
        <v>304</v>
      </c>
      <c r="C11" s="74">
        <f>318975937.1/1000000</f>
        <v>318.97593710000001</v>
      </c>
      <c r="D11" s="74">
        <v>0</v>
      </c>
      <c r="E11" s="74">
        <f>2986568860/1000000</f>
        <v>2986.5688599999999</v>
      </c>
      <c r="F11" s="74">
        <v>0</v>
      </c>
      <c r="G11" s="74">
        <v>0</v>
      </c>
      <c r="H11" s="71">
        <f>+C11+E11</f>
        <v>3305.5447970999999</v>
      </c>
      <c r="I11" s="74">
        <f>23881579.4/1000000</f>
        <v>23.8815794</v>
      </c>
      <c r="J11" s="74">
        <f>11804703.93/1000000</f>
        <v>11.804703930000001</v>
      </c>
      <c r="K11" s="74">
        <v>0</v>
      </c>
      <c r="L11" s="71">
        <f>+I11+J11+K11</f>
        <v>35.686283330000002</v>
      </c>
      <c r="M11" s="74">
        <f>446078541.6/1000000</f>
        <v>446.07854160000005</v>
      </c>
      <c r="N11" s="75">
        <v>4.5157536999999998E-2</v>
      </c>
      <c r="O11" s="74">
        <v>0</v>
      </c>
    </row>
    <row r="12" spans="1:15" x14ac:dyDescent="0.35">
      <c r="A12" s="76" t="s">
        <v>305</v>
      </c>
      <c r="B12" s="77" t="s">
        <v>306</v>
      </c>
      <c r="C12" s="78">
        <f>+C10+C11</f>
        <v>72997.369812099991</v>
      </c>
      <c r="D12" s="74">
        <v>0</v>
      </c>
      <c r="E12" s="78">
        <f>+E10+E11</f>
        <v>29005.541063000001</v>
      </c>
      <c r="F12" s="74">
        <v>0</v>
      </c>
      <c r="G12" s="74">
        <v>0</v>
      </c>
      <c r="H12" s="79">
        <f>+C12+E12</f>
        <v>102002.91087509999</v>
      </c>
      <c r="I12" s="78">
        <f>+I10+I11</f>
        <v>3836.6914064000002</v>
      </c>
      <c r="J12" s="78">
        <f>+J10+J11</f>
        <v>293.13980023000005</v>
      </c>
      <c r="K12" s="74">
        <v>0</v>
      </c>
      <c r="L12" s="79">
        <f>+I12+J12+K12</f>
        <v>4129.8312066300005</v>
      </c>
      <c r="M12" s="78">
        <f>+M10+M11</f>
        <v>51622.890082600003</v>
      </c>
      <c r="N12" s="80">
        <v>1</v>
      </c>
      <c r="O12" s="81" t="s">
        <v>96</v>
      </c>
    </row>
  </sheetData>
  <mergeCells count="8">
    <mergeCell ref="N6:N8"/>
    <mergeCell ref="O6:O8"/>
    <mergeCell ref="C6:D7"/>
    <mergeCell ref="E6:F7"/>
    <mergeCell ref="G6:G8"/>
    <mergeCell ref="H6:H8"/>
    <mergeCell ref="I6:L7"/>
    <mergeCell ref="M6: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C1A1-C425-4CC3-B2EA-D64E9344C18F}">
  <dimension ref="A3:C9"/>
  <sheetViews>
    <sheetView workbookViewId="0">
      <selection activeCell="B19" sqref="B19"/>
    </sheetView>
  </sheetViews>
  <sheetFormatPr defaultRowHeight="14.5" x14ac:dyDescent="0.35"/>
  <cols>
    <col min="1" max="1" width="5.1796875" customWidth="1"/>
    <col min="2" max="2" width="45.81640625" customWidth="1"/>
    <col min="3" max="3" width="64.1796875" customWidth="1"/>
  </cols>
  <sheetData>
    <row r="3" spans="1:3" ht="18.5" x14ac:dyDescent="0.45">
      <c r="A3" s="3" t="s">
        <v>307</v>
      </c>
    </row>
    <row r="6" spans="1:3" x14ac:dyDescent="0.35">
      <c r="A6" s="4"/>
      <c r="B6" s="82" t="s">
        <v>62</v>
      </c>
      <c r="C6" s="83" t="s">
        <v>226</v>
      </c>
    </row>
    <row r="7" spans="1:3" x14ac:dyDescent="0.35">
      <c r="A7" s="84">
        <v>1</v>
      </c>
      <c r="B7" s="85" t="s">
        <v>308</v>
      </c>
      <c r="C7" s="86">
        <f>62942737357/1000000</f>
        <v>62942.737356999998</v>
      </c>
    </row>
    <row r="8" spans="1:3" x14ac:dyDescent="0.35">
      <c r="A8" s="84">
        <v>2</v>
      </c>
      <c r="B8" s="85" t="s">
        <v>309</v>
      </c>
      <c r="C8" s="87">
        <v>0</v>
      </c>
    </row>
    <row r="9" spans="1:3" ht="29" x14ac:dyDescent="0.35">
      <c r="A9" s="84">
        <v>3</v>
      </c>
      <c r="B9" s="85" t="s">
        <v>310</v>
      </c>
      <c r="C9" s="86">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B0D1-6EA8-490F-A130-1794FF1CCA35}">
  <dimension ref="A2:Q51"/>
  <sheetViews>
    <sheetView workbookViewId="0">
      <selection activeCell="A2" sqref="A2"/>
    </sheetView>
  </sheetViews>
  <sheetFormatPr defaultColWidth="8.7265625" defaultRowHeight="14.5" x14ac:dyDescent="0.35"/>
  <cols>
    <col min="1" max="1" width="3.81640625" style="88" customWidth="1"/>
    <col min="2" max="2" width="25.7265625" style="88" customWidth="1"/>
    <col min="3" max="3" width="8.54296875" style="88" customWidth="1"/>
    <col min="4" max="4" width="6.54296875" style="88" customWidth="1"/>
    <col min="5" max="6" width="6.81640625" style="88" customWidth="1"/>
    <col min="7" max="7" width="6.26953125" style="88" customWidth="1"/>
    <col min="8" max="8" width="6.453125" style="88" customWidth="1"/>
    <col min="9" max="9" width="7.453125" style="88" customWidth="1"/>
    <col min="10" max="10" width="6.1796875" style="88" customWidth="1"/>
    <col min="11" max="11" width="5.81640625" style="88" customWidth="1"/>
    <col min="12" max="12" width="6.453125" style="88" customWidth="1"/>
    <col min="13" max="13" width="5.54296875" style="88" customWidth="1"/>
    <col min="14" max="14" width="6.1796875" style="88" customWidth="1"/>
    <col min="15" max="15" width="8.54296875" style="88" customWidth="1"/>
    <col min="16" max="16" width="7.81640625" style="88" customWidth="1"/>
    <col min="17" max="17" width="6.81640625" style="88" customWidth="1"/>
    <col min="18" max="16384" width="8.7265625" style="88"/>
  </cols>
  <sheetData>
    <row r="2" spans="1:17" ht="18.5" x14ac:dyDescent="0.35">
      <c r="A2" s="58" t="s">
        <v>311</v>
      </c>
    </row>
    <row r="3" spans="1:17" ht="15.5" x14ac:dyDescent="0.35">
      <c r="A3" s="89"/>
      <c r="B3" s="90"/>
      <c r="C3" s="90"/>
      <c r="D3" s="90"/>
      <c r="E3" s="90"/>
      <c r="F3" s="90"/>
      <c r="G3" s="90"/>
      <c r="H3" s="90"/>
      <c r="I3" s="90"/>
      <c r="J3" s="90"/>
      <c r="K3" s="90"/>
      <c r="L3" s="90"/>
      <c r="M3" s="90"/>
      <c r="N3" s="90"/>
      <c r="O3" s="90"/>
      <c r="P3" s="90"/>
      <c r="Q3" s="90"/>
    </row>
    <row r="4" spans="1:17" ht="16" thickBot="1" x14ac:dyDescent="0.4">
      <c r="A4" s="89"/>
      <c r="B4" s="90"/>
      <c r="C4" s="90"/>
      <c r="D4" s="90"/>
      <c r="E4" s="90"/>
      <c r="F4" s="90"/>
      <c r="G4" s="90"/>
      <c r="H4" s="90"/>
      <c r="I4" s="90"/>
      <c r="J4" s="90"/>
      <c r="K4" s="90"/>
      <c r="L4" s="90"/>
      <c r="M4" s="90"/>
      <c r="N4" s="90"/>
      <c r="O4" s="90"/>
      <c r="P4" s="90"/>
      <c r="Q4" s="90"/>
    </row>
    <row r="5" spans="1:17" ht="16" thickBot="1" x14ac:dyDescent="0.4">
      <c r="A5" s="91"/>
      <c r="B5" s="92"/>
      <c r="C5" s="93" t="s">
        <v>226</v>
      </c>
      <c r="D5" s="93" t="s">
        <v>227</v>
      </c>
      <c r="E5" s="93" t="s">
        <v>228</v>
      </c>
      <c r="F5" s="93" t="s">
        <v>275</v>
      </c>
      <c r="G5" s="93" t="s">
        <v>276</v>
      </c>
      <c r="H5" s="93" t="s">
        <v>277</v>
      </c>
      <c r="I5" s="93" t="s">
        <v>278</v>
      </c>
      <c r="J5" s="93" t="s">
        <v>279</v>
      </c>
      <c r="K5" s="93" t="s">
        <v>280</v>
      </c>
      <c r="L5" s="93" t="s">
        <v>281</v>
      </c>
      <c r="M5" s="93" t="s">
        <v>282</v>
      </c>
      <c r="N5" s="93" t="s">
        <v>283</v>
      </c>
      <c r="O5" s="93" t="s">
        <v>284</v>
      </c>
      <c r="P5" s="93" t="s">
        <v>312</v>
      </c>
      <c r="Q5" s="93" t="s">
        <v>313</v>
      </c>
    </row>
    <row r="6" spans="1:17" ht="33" customHeight="1" thickBot="1" x14ac:dyDescent="0.4">
      <c r="A6" s="94"/>
      <c r="B6" s="95" t="s">
        <v>62</v>
      </c>
      <c r="C6" s="525" t="s">
        <v>314</v>
      </c>
      <c r="D6" s="526"/>
      <c r="E6" s="526"/>
      <c r="F6" s="526"/>
      <c r="G6" s="526"/>
      <c r="H6" s="527"/>
      <c r="I6" s="528" t="s">
        <v>315</v>
      </c>
      <c r="J6" s="526"/>
      <c r="K6" s="526"/>
      <c r="L6" s="526"/>
      <c r="M6" s="526"/>
      <c r="N6" s="527"/>
      <c r="O6" s="529" t="s">
        <v>316</v>
      </c>
      <c r="P6" s="525" t="s">
        <v>317</v>
      </c>
      <c r="Q6" s="527"/>
    </row>
    <row r="7" spans="1:17" ht="45.75" customHeight="1" thickBot="1" x14ac:dyDescent="0.4">
      <c r="A7" s="94"/>
      <c r="B7" s="96"/>
      <c r="C7" s="531" t="s">
        <v>318</v>
      </c>
      <c r="D7" s="532"/>
      <c r="E7" s="533"/>
      <c r="F7" s="534" t="s">
        <v>319</v>
      </c>
      <c r="G7" s="532"/>
      <c r="H7" s="533"/>
      <c r="I7" s="534" t="s">
        <v>320</v>
      </c>
      <c r="J7" s="532"/>
      <c r="K7" s="533"/>
      <c r="L7" s="534" t="s">
        <v>321</v>
      </c>
      <c r="M7" s="532"/>
      <c r="N7" s="533"/>
      <c r="O7" s="530"/>
      <c r="P7" s="535" t="s">
        <v>322</v>
      </c>
      <c r="Q7" s="535" t="s">
        <v>323</v>
      </c>
    </row>
    <row r="8" spans="1:17" ht="23.5" thickBot="1" x14ac:dyDescent="0.4">
      <c r="A8" s="97"/>
      <c r="B8" s="98"/>
      <c r="C8" s="99"/>
      <c r="D8" s="93" t="s">
        <v>324</v>
      </c>
      <c r="E8" s="93" t="s">
        <v>325</v>
      </c>
      <c r="F8" s="99"/>
      <c r="G8" s="93" t="s">
        <v>325</v>
      </c>
      <c r="H8" s="93" t="s">
        <v>326</v>
      </c>
      <c r="I8" s="100"/>
      <c r="J8" s="101" t="s">
        <v>324</v>
      </c>
      <c r="K8" s="101" t="s">
        <v>325</v>
      </c>
      <c r="L8" s="99"/>
      <c r="M8" s="101" t="s">
        <v>325</v>
      </c>
      <c r="N8" s="101" t="s">
        <v>326</v>
      </c>
      <c r="O8" s="99"/>
      <c r="P8" s="536"/>
      <c r="Q8" s="536"/>
    </row>
    <row r="9" spans="1:17" ht="33" customHeight="1" thickBot="1" x14ac:dyDescent="0.4">
      <c r="A9" s="102" t="s">
        <v>327</v>
      </c>
      <c r="B9" s="95" t="s">
        <v>328</v>
      </c>
      <c r="C9" s="103">
        <v>9521.6755469199998</v>
      </c>
      <c r="D9" s="104">
        <v>9521.6755469199998</v>
      </c>
      <c r="E9" s="104">
        <v>0</v>
      </c>
      <c r="F9" s="103">
        <v>0</v>
      </c>
      <c r="G9" s="104">
        <v>0</v>
      </c>
      <c r="H9" s="104">
        <v>0</v>
      </c>
      <c r="I9" s="104">
        <v>0</v>
      </c>
      <c r="J9" s="103">
        <v>0</v>
      </c>
      <c r="K9" s="103">
        <v>0</v>
      </c>
      <c r="L9" s="103">
        <v>0</v>
      </c>
      <c r="M9" s="103">
        <v>0</v>
      </c>
      <c r="N9" s="103">
        <v>0</v>
      </c>
      <c r="O9" s="103">
        <v>0</v>
      </c>
      <c r="P9" s="104">
        <v>0</v>
      </c>
      <c r="Q9" s="104">
        <v>0</v>
      </c>
    </row>
    <row r="10" spans="1:17" ht="22.5" customHeight="1" thickBot="1" x14ac:dyDescent="0.4">
      <c r="A10" s="102" t="s">
        <v>301</v>
      </c>
      <c r="B10" s="95" t="s">
        <v>329</v>
      </c>
      <c r="C10" s="103">
        <f>SUM(C11:C15)+C17</f>
        <v>42995.24770142429</v>
      </c>
      <c r="D10" s="103">
        <f t="shared" ref="D10:Q10" si="0">SUM(D11:D15)+D17</f>
        <v>36714.31844770343</v>
      </c>
      <c r="E10" s="103">
        <f t="shared" si="0"/>
        <v>6158.7053261187048</v>
      </c>
      <c r="F10" s="103">
        <f t="shared" si="0"/>
        <v>3132.8062990070021</v>
      </c>
      <c r="G10" s="103">
        <f t="shared" si="0"/>
        <v>128.09637438000001</v>
      </c>
      <c r="H10" s="103">
        <f t="shared" si="0"/>
        <v>2883.0090183570019</v>
      </c>
      <c r="I10" s="103">
        <f t="shared" si="0"/>
        <v>334.97200744423236</v>
      </c>
      <c r="J10" s="103">
        <f t="shared" si="0"/>
        <v>149.25958125503598</v>
      </c>
      <c r="K10" s="103">
        <f t="shared" si="0"/>
        <v>185.71242618919615</v>
      </c>
      <c r="L10" s="103">
        <f t="shared" si="0"/>
        <v>862.04141441317893</v>
      </c>
      <c r="M10" s="103">
        <f t="shared" si="0"/>
        <v>7.5710294625644963</v>
      </c>
      <c r="N10" s="103">
        <f t="shared" si="0"/>
        <v>849.2241665098004</v>
      </c>
      <c r="O10" s="103">
        <f t="shared" si="0"/>
        <v>0</v>
      </c>
      <c r="P10" s="103">
        <f t="shared" si="0"/>
        <v>36202.548323576244</v>
      </c>
      <c r="Q10" s="103">
        <f t="shared" si="0"/>
        <v>2444.8839157745324</v>
      </c>
    </row>
    <row r="11" spans="1:17" ht="22.5" customHeight="1" thickBot="1" x14ac:dyDescent="0.4">
      <c r="A11" s="105" t="s">
        <v>305</v>
      </c>
      <c r="B11" s="106" t="s">
        <v>330</v>
      </c>
      <c r="C11" s="104">
        <v>0</v>
      </c>
      <c r="D11" s="104">
        <v>0</v>
      </c>
      <c r="E11" s="103">
        <v>0</v>
      </c>
      <c r="F11" s="103">
        <v>0</v>
      </c>
      <c r="G11" s="103">
        <v>0</v>
      </c>
      <c r="H11" s="103">
        <v>0</v>
      </c>
      <c r="I11" s="103">
        <v>0</v>
      </c>
      <c r="J11" s="103">
        <v>0</v>
      </c>
      <c r="K11" s="103">
        <v>0</v>
      </c>
      <c r="L11" s="103">
        <v>0</v>
      </c>
      <c r="M11" s="103">
        <v>0</v>
      </c>
      <c r="N11" s="103">
        <v>0</v>
      </c>
      <c r="O11" s="103">
        <v>0</v>
      </c>
      <c r="P11" s="104">
        <v>0</v>
      </c>
      <c r="Q11" s="104">
        <v>0</v>
      </c>
    </row>
    <row r="12" spans="1:17" ht="22.5" customHeight="1" thickBot="1" x14ac:dyDescent="0.4">
      <c r="A12" s="105" t="s">
        <v>331</v>
      </c>
      <c r="B12" s="106" t="s">
        <v>332</v>
      </c>
      <c r="C12" s="104">
        <v>0</v>
      </c>
      <c r="D12" s="104">
        <v>0</v>
      </c>
      <c r="E12" s="103">
        <v>0</v>
      </c>
      <c r="F12" s="103">
        <v>0</v>
      </c>
      <c r="G12" s="103">
        <v>0</v>
      </c>
      <c r="H12" s="103">
        <v>0</v>
      </c>
      <c r="I12" s="103">
        <v>0</v>
      </c>
      <c r="J12" s="103">
        <v>0</v>
      </c>
      <c r="K12" s="103">
        <v>0</v>
      </c>
      <c r="L12" s="103">
        <v>0</v>
      </c>
      <c r="M12" s="103">
        <v>0</v>
      </c>
      <c r="N12" s="103">
        <v>0</v>
      </c>
      <c r="O12" s="103">
        <v>0</v>
      </c>
      <c r="P12" s="104">
        <v>0</v>
      </c>
      <c r="Q12" s="104">
        <v>0</v>
      </c>
    </row>
    <row r="13" spans="1:17" ht="22.5" customHeight="1" thickBot="1" x14ac:dyDescent="0.4">
      <c r="A13" s="105" t="s">
        <v>333</v>
      </c>
      <c r="B13" s="106" t="s">
        <v>334</v>
      </c>
      <c r="C13" s="107">
        <v>619.57195159000003</v>
      </c>
      <c r="D13" s="103">
        <v>496.08972055999999</v>
      </c>
      <c r="E13" s="103">
        <v>1.2763514199999999</v>
      </c>
      <c r="F13" s="103">
        <v>8</v>
      </c>
      <c r="G13" s="103">
        <v>0</v>
      </c>
      <c r="H13" s="103">
        <v>8</v>
      </c>
      <c r="I13" s="103">
        <v>0.19186771426000002</v>
      </c>
      <c r="J13" s="103">
        <v>0.19103809426000001</v>
      </c>
      <c r="K13" s="103">
        <v>8.2961999999999999E-4</v>
      </c>
      <c r="L13" s="103">
        <v>8</v>
      </c>
      <c r="M13" s="103">
        <v>0</v>
      </c>
      <c r="N13" s="103">
        <v>8</v>
      </c>
      <c r="O13" s="103">
        <v>0</v>
      </c>
      <c r="P13" s="104">
        <v>1.5439999999999998E-5</v>
      </c>
      <c r="Q13" s="104">
        <v>0</v>
      </c>
    </row>
    <row r="14" spans="1:17" ht="22.5" customHeight="1" thickBot="1" x14ac:dyDescent="0.4">
      <c r="A14" s="105" t="s">
        <v>335</v>
      </c>
      <c r="B14" s="106" t="s">
        <v>336</v>
      </c>
      <c r="C14" s="107">
        <v>1633.987088304001</v>
      </c>
      <c r="D14" s="103">
        <v>1410.2397640490001</v>
      </c>
      <c r="E14" s="103">
        <v>223.747324255</v>
      </c>
      <c r="F14" s="103">
        <v>127.901745346</v>
      </c>
      <c r="G14" s="103">
        <v>5.3159899999999996E-3</v>
      </c>
      <c r="H14" s="103">
        <v>113.09840274599999</v>
      </c>
      <c r="I14" s="103">
        <v>18.257698194990098</v>
      </c>
      <c r="J14" s="103">
        <v>9.7296051355060182</v>
      </c>
      <c r="K14" s="103">
        <v>8.5280930594840694</v>
      </c>
      <c r="L14" s="103">
        <v>73.638715079472206</v>
      </c>
      <c r="M14" s="103">
        <v>6.9684E-4</v>
      </c>
      <c r="N14" s="103">
        <v>73.552714405885993</v>
      </c>
      <c r="O14" s="103">
        <v>0</v>
      </c>
      <c r="P14" s="104">
        <v>565.41903355993293</v>
      </c>
      <c r="Q14" s="104">
        <v>36.439510757920601</v>
      </c>
    </row>
    <row r="15" spans="1:17" ht="22.5" customHeight="1" thickBot="1" x14ac:dyDescent="0.4">
      <c r="A15" s="105" t="s">
        <v>337</v>
      </c>
      <c r="B15" s="106" t="s">
        <v>338</v>
      </c>
      <c r="C15" s="107">
        <v>15038.877789911547</v>
      </c>
      <c r="D15" s="103">
        <v>11211.265924800015</v>
      </c>
      <c r="E15" s="103">
        <v>3827.5938171193607</v>
      </c>
      <c r="F15" s="103">
        <v>1960.4819211710001</v>
      </c>
      <c r="G15" s="103">
        <v>77.00544273300001</v>
      </c>
      <c r="H15" s="103">
        <v>1820.291129638</v>
      </c>
      <c r="I15" s="103">
        <v>174.39215151424318</v>
      </c>
      <c r="J15" s="103">
        <v>78.910613042546004</v>
      </c>
      <c r="K15" s="103">
        <v>95.481538471697405</v>
      </c>
      <c r="L15" s="103">
        <v>500.81200240228503</v>
      </c>
      <c r="M15" s="103">
        <v>4.7940878548601198</v>
      </c>
      <c r="N15" s="103">
        <v>491.25623800059583</v>
      </c>
      <c r="O15" s="103">
        <v>0</v>
      </c>
      <c r="P15" s="104">
        <v>12358.34228885873</v>
      </c>
      <c r="Q15" s="104">
        <v>1644.8038666300101</v>
      </c>
    </row>
    <row r="16" spans="1:17" ht="22.5" customHeight="1" thickBot="1" x14ac:dyDescent="0.4">
      <c r="A16" s="105" t="s">
        <v>339</v>
      </c>
      <c r="B16" s="108" t="s">
        <v>340</v>
      </c>
      <c r="C16" s="109"/>
      <c r="D16" s="109"/>
      <c r="E16" s="109"/>
      <c r="F16" s="110"/>
      <c r="G16" s="110"/>
      <c r="H16" s="110"/>
      <c r="I16" s="110"/>
      <c r="J16" s="110"/>
      <c r="K16" s="110"/>
      <c r="L16" s="110"/>
      <c r="M16" s="110"/>
      <c r="N16" s="110"/>
      <c r="O16" s="110"/>
      <c r="P16" s="110"/>
      <c r="Q16" s="110"/>
    </row>
    <row r="17" spans="1:17" ht="22.5" customHeight="1" thickBot="1" x14ac:dyDescent="0.4">
      <c r="A17" s="105" t="s">
        <v>341</v>
      </c>
      <c r="B17" s="106" t="s">
        <v>342</v>
      </c>
      <c r="C17" s="103">
        <v>25702.810871618745</v>
      </c>
      <c r="D17" s="103">
        <v>23596.723038294418</v>
      </c>
      <c r="E17" s="103">
        <v>2106.0878333243436</v>
      </c>
      <c r="F17" s="103">
        <v>1036.4226324900019</v>
      </c>
      <c r="G17" s="103">
        <v>51.085615656999998</v>
      </c>
      <c r="H17" s="103">
        <v>941.61948597300193</v>
      </c>
      <c r="I17" s="103">
        <v>142.1302900207391</v>
      </c>
      <c r="J17" s="103">
        <v>60.42832498272395</v>
      </c>
      <c r="K17" s="103">
        <v>81.701965038014691</v>
      </c>
      <c r="L17" s="103">
        <v>279.59069693142169</v>
      </c>
      <c r="M17" s="103">
        <v>2.7762447677043771</v>
      </c>
      <c r="N17" s="103">
        <v>276.41521410331865</v>
      </c>
      <c r="O17" s="104">
        <v>0</v>
      </c>
      <c r="P17" s="104">
        <v>23278.786985717579</v>
      </c>
      <c r="Q17" s="104">
        <v>763.64053838660197</v>
      </c>
    </row>
    <row r="18" spans="1:17" ht="22.5" customHeight="1" thickBot="1" x14ac:dyDescent="0.4">
      <c r="A18" s="111" t="s">
        <v>343</v>
      </c>
      <c r="B18" s="98" t="s">
        <v>344</v>
      </c>
      <c r="C18" s="103">
        <v>0</v>
      </c>
      <c r="D18" s="103">
        <v>0</v>
      </c>
      <c r="E18" s="103">
        <v>0</v>
      </c>
      <c r="F18" s="103">
        <v>0</v>
      </c>
      <c r="G18" s="103">
        <v>0</v>
      </c>
      <c r="H18" s="103">
        <v>0</v>
      </c>
      <c r="I18" s="103">
        <v>0</v>
      </c>
      <c r="J18" s="103">
        <v>0</v>
      </c>
      <c r="K18" s="103">
        <v>0</v>
      </c>
      <c r="L18" s="103">
        <v>0</v>
      </c>
      <c r="M18" s="103">
        <v>0</v>
      </c>
      <c r="N18" s="103">
        <v>0</v>
      </c>
      <c r="O18" s="104">
        <v>0</v>
      </c>
      <c r="P18" s="104">
        <v>0</v>
      </c>
      <c r="Q18" s="104">
        <v>0</v>
      </c>
    </row>
    <row r="19" spans="1:17" ht="22.5" customHeight="1" thickBot="1" x14ac:dyDescent="0.4">
      <c r="A19" s="105" t="s">
        <v>345</v>
      </c>
      <c r="B19" s="106" t="s">
        <v>330</v>
      </c>
      <c r="C19" s="103">
        <v>0</v>
      </c>
      <c r="D19" s="103">
        <v>0</v>
      </c>
      <c r="E19" s="103">
        <v>0</v>
      </c>
      <c r="F19" s="103">
        <v>0</v>
      </c>
      <c r="G19" s="103">
        <v>0</v>
      </c>
      <c r="H19" s="103">
        <v>0</v>
      </c>
      <c r="I19" s="103">
        <v>0</v>
      </c>
      <c r="J19" s="103">
        <v>0</v>
      </c>
      <c r="K19" s="103">
        <v>0</v>
      </c>
      <c r="L19" s="103">
        <v>0</v>
      </c>
      <c r="M19" s="103">
        <v>0</v>
      </c>
      <c r="N19" s="103">
        <v>0</v>
      </c>
      <c r="O19" s="104">
        <v>0</v>
      </c>
      <c r="P19" s="104">
        <v>0</v>
      </c>
      <c r="Q19" s="104">
        <v>0</v>
      </c>
    </row>
    <row r="20" spans="1:17" ht="22.5" customHeight="1" thickBot="1" x14ac:dyDescent="0.4">
      <c r="A20" s="105" t="s">
        <v>346</v>
      </c>
      <c r="B20" s="106" t="s">
        <v>332</v>
      </c>
      <c r="C20" s="103">
        <v>0</v>
      </c>
      <c r="D20" s="103">
        <v>0</v>
      </c>
      <c r="E20" s="103">
        <v>0</v>
      </c>
      <c r="F20" s="103">
        <v>0</v>
      </c>
      <c r="G20" s="103">
        <v>0</v>
      </c>
      <c r="H20" s="103">
        <v>0</v>
      </c>
      <c r="I20" s="103">
        <v>0</v>
      </c>
      <c r="J20" s="103">
        <v>0</v>
      </c>
      <c r="K20" s="103">
        <v>0</v>
      </c>
      <c r="L20" s="103">
        <v>0</v>
      </c>
      <c r="M20" s="103">
        <v>0</v>
      </c>
      <c r="N20" s="103">
        <v>0</v>
      </c>
      <c r="O20" s="104">
        <v>0</v>
      </c>
      <c r="P20" s="104">
        <v>0</v>
      </c>
      <c r="Q20" s="104">
        <v>0</v>
      </c>
    </row>
    <row r="21" spans="1:17" ht="22.5" customHeight="1" thickBot="1" x14ac:dyDescent="0.4">
      <c r="A21" s="105" t="s">
        <v>347</v>
      </c>
      <c r="B21" s="106" t="s">
        <v>334</v>
      </c>
      <c r="C21" s="103">
        <v>0</v>
      </c>
      <c r="D21" s="103">
        <v>0</v>
      </c>
      <c r="E21" s="103">
        <v>0</v>
      </c>
      <c r="F21" s="103">
        <v>0</v>
      </c>
      <c r="G21" s="103">
        <v>0</v>
      </c>
      <c r="H21" s="103">
        <v>0</v>
      </c>
      <c r="I21" s="103">
        <v>0</v>
      </c>
      <c r="J21" s="103">
        <v>0</v>
      </c>
      <c r="K21" s="103">
        <v>0</v>
      </c>
      <c r="L21" s="103">
        <v>0</v>
      </c>
      <c r="M21" s="103">
        <v>0</v>
      </c>
      <c r="N21" s="103">
        <v>0</v>
      </c>
      <c r="O21" s="104">
        <v>0</v>
      </c>
      <c r="P21" s="104">
        <v>0</v>
      </c>
      <c r="Q21" s="104">
        <v>0</v>
      </c>
    </row>
    <row r="22" spans="1:17" ht="22.5" customHeight="1" thickBot="1" x14ac:dyDescent="0.4">
      <c r="A22" s="105" t="s">
        <v>348</v>
      </c>
      <c r="B22" s="106" t="s">
        <v>336</v>
      </c>
      <c r="C22" s="103">
        <v>0</v>
      </c>
      <c r="D22" s="103">
        <v>0</v>
      </c>
      <c r="E22" s="103">
        <v>0</v>
      </c>
      <c r="F22" s="103">
        <v>0</v>
      </c>
      <c r="G22" s="103">
        <v>0</v>
      </c>
      <c r="H22" s="103">
        <v>0</v>
      </c>
      <c r="I22" s="103">
        <v>0</v>
      </c>
      <c r="J22" s="103">
        <v>0</v>
      </c>
      <c r="K22" s="103">
        <v>0</v>
      </c>
      <c r="L22" s="103">
        <v>0</v>
      </c>
      <c r="M22" s="103">
        <v>0</v>
      </c>
      <c r="N22" s="103">
        <v>0</v>
      </c>
      <c r="O22" s="104">
        <v>0</v>
      </c>
      <c r="P22" s="104">
        <v>0</v>
      </c>
      <c r="Q22" s="104">
        <v>0</v>
      </c>
    </row>
    <row r="23" spans="1:17" ht="22.5" customHeight="1" thickBot="1" x14ac:dyDescent="0.4">
      <c r="A23" s="105" t="s">
        <v>349</v>
      </c>
      <c r="B23" s="106" t="s">
        <v>338</v>
      </c>
      <c r="C23" s="103">
        <v>0</v>
      </c>
      <c r="D23" s="103">
        <v>0</v>
      </c>
      <c r="E23" s="103">
        <v>0</v>
      </c>
      <c r="F23" s="103">
        <v>0</v>
      </c>
      <c r="G23" s="103">
        <v>0</v>
      </c>
      <c r="H23" s="103">
        <v>0</v>
      </c>
      <c r="I23" s="103">
        <v>0</v>
      </c>
      <c r="J23" s="103">
        <v>0</v>
      </c>
      <c r="K23" s="103">
        <v>0</v>
      </c>
      <c r="L23" s="103">
        <v>0</v>
      </c>
      <c r="M23" s="103">
        <v>0</v>
      </c>
      <c r="N23" s="103">
        <v>0</v>
      </c>
      <c r="O23" s="104">
        <v>0</v>
      </c>
      <c r="P23" s="104">
        <v>0</v>
      </c>
      <c r="Q23" s="104">
        <v>0</v>
      </c>
    </row>
    <row r="24" spans="1:17" ht="22.5" customHeight="1" thickBot="1" x14ac:dyDescent="0.4">
      <c r="A24" s="111" t="s">
        <v>350</v>
      </c>
      <c r="B24" s="98" t="s">
        <v>351</v>
      </c>
      <c r="C24" s="103">
        <f>SUM(C25:C30)</f>
        <v>40598.970129101333</v>
      </c>
      <c r="D24" s="103">
        <f t="shared" ref="D24:Q24" si="1">SUM(D25:D30)</f>
        <v>36836.346875231953</v>
      </c>
      <c r="E24" s="103">
        <f t="shared" si="1"/>
        <v>3760.2037970593128</v>
      </c>
      <c r="F24" s="103">
        <f t="shared" si="1"/>
        <v>934.39746429950105</v>
      </c>
      <c r="G24" s="103">
        <f t="shared" si="1"/>
        <v>55.305308659978003</v>
      </c>
      <c r="H24" s="103">
        <f t="shared" si="1"/>
        <v>813.34302494954409</v>
      </c>
      <c r="I24" s="103">
        <f t="shared" si="1"/>
        <v>42.49642215565742</v>
      </c>
      <c r="J24" s="103">
        <f t="shared" si="1"/>
        <v>28.832843235110833</v>
      </c>
      <c r="K24" s="103">
        <f t="shared" si="1"/>
        <v>13.663578920544575</v>
      </c>
      <c r="L24" s="103">
        <f t="shared" si="1"/>
        <v>179.16027712956028</v>
      </c>
      <c r="M24" s="103">
        <f t="shared" si="1"/>
        <v>0.25455971786552128</v>
      </c>
      <c r="N24" s="103">
        <f t="shared" si="1"/>
        <v>178.79605855985898</v>
      </c>
      <c r="O24" s="112"/>
      <c r="P24" s="104">
        <f t="shared" si="1"/>
        <v>10103.565838603841</v>
      </c>
      <c r="Q24" s="104">
        <f t="shared" si="1"/>
        <v>312.34251338738625</v>
      </c>
    </row>
    <row r="25" spans="1:17" ht="22.5" customHeight="1" thickBot="1" x14ac:dyDescent="0.4">
      <c r="A25" s="105" t="s">
        <v>352</v>
      </c>
      <c r="B25" s="106" t="s">
        <v>330</v>
      </c>
      <c r="C25" s="103">
        <v>0</v>
      </c>
      <c r="D25" s="103">
        <v>0</v>
      </c>
      <c r="E25" s="103">
        <v>0</v>
      </c>
      <c r="F25" s="103">
        <v>0</v>
      </c>
      <c r="G25" s="103">
        <v>0</v>
      </c>
      <c r="H25" s="103">
        <v>0</v>
      </c>
      <c r="I25" s="103">
        <v>0</v>
      </c>
      <c r="J25" s="103">
        <v>0</v>
      </c>
      <c r="K25" s="103">
        <v>0</v>
      </c>
      <c r="L25" s="103">
        <v>0</v>
      </c>
      <c r="M25" s="103">
        <v>0</v>
      </c>
      <c r="N25" s="103">
        <v>0</v>
      </c>
      <c r="O25" s="112"/>
      <c r="P25" s="104">
        <v>0</v>
      </c>
      <c r="Q25" s="104">
        <v>0</v>
      </c>
    </row>
    <row r="26" spans="1:17" ht="22.5" customHeight="1" thickBot="1" x14ac:dyDescent="0.4">
      <c r="A26" s="105" t="s">
        <v>353</v>
      </c>
      <c r="B26" s="106" t="s">
        <v>332</v>
      </c>
      <c r="C26" s="103">
        <v>104.62662109</v>
      </c>
      <c r="D26" s="103">
        <v>104.17276516</v>
      </c>
      <c r="E26" s="103">
        <v>0.45385593000000002</v>
      </c>
      <c r="F26" s="103">
        <v>1.94499E-3</v>
      </c>
      <c r="G26" s="103">
        <v>0</v>
      </c>
      <c r="H26" s="103">
        <v>1.94499E-3</v>
      </c>
      <c r="I26" s="103">
        <v>0.30151652000000001</v>
      </c>
      <c r="J26" s="103">
        <v>0.30151652000000001</v>
      </c>
      <c r="K26" s="103">
        <v>0</v>
      </c>
      <c r="L26" s="103">
        <v>0</v>
      </c>
      <c r="M26" s="103">
        <v>0</v>
      </c>
      <c r="N26" s="103">
        <v>0</v>
      </c>
      <c r="O26" s="112"/>
      <c r="P26" s="104">
        <v>0.95330294999999998</v>
      </c>
      <c r="Q26" s="104">
        <v>0</v>
      </c>
    </row>
    <row r="27" spans="1:17" ht="22.5" customHeight="1" thickBot="1" x14ac:dyDescent="0.4">
      <c r="A27" s="105" t="s">
        <v>354</v>
      </c>
      <c r="B27" s="106" t="s">
        <v>334</v>
      </c>
      <c r="C27" s="103">
        <v>339.01157802999995</v>
      </c>
      <c r="D27" s="103">
        <v>339.01157802999995</v>
      </c>
      <c r="E27" s="103">
        <v>0</v>
      </c>
      <c r="F27" s="103">
        <v>0</v>
      </c>
      <c r="G27" s="103">
        <v>0</v>
      </c>
      <c r="H27" s="103">
        <v>0</v>
      </c>
      <c r="I27" s="103">
        <v>0.10499605864600001</v>
      </c>
      <c r="J27" s="103">
        <v>0.10499605864600001</v>
      </c>
      <c r="K27" s="103">
        <v>0</v>
      </c>
      <c r="L27" s="103">
        <v>0</v>
      </c>
      <c r="M27" s="103">
        <v>0</v>
      </c>
      <c r="N27" s="103">
        <v>0</v>
      </c>
      <c r="O27" s="112"/>
      <c r="P27" s="104">
        <v>3.82225854</v>
      </c>
      <c r="Q27" s="104">
        <v>0</v>
      </c>
    </row>
    <row r="28" spans="1:17" ht="22.5" customHeight="1" thickBot="1" x14ac:dyDescent="0.4">
      <c r="A28" s="105" t="s">
        <v>355</v>
      </c>
      <c r="B28" s="106" t="s">
        <v>336</v>
      </c>
      <c r="C28" s="103">
        <v>1693.5817417899871</v>
      </c>
      <c r="D28" s="103">
        <v>1608.8382156799919</v>
      </c>
      <c r="E28" s="103">
        <v>84.743526109995997</v>
      </c>
      <c r="F28" s="103">
        <v>8.0120550599999998</v>
      </c>
      <c r="G28" s="103">
        <v>0</v>
      </c>
      <c r="H28" s="103">
        <v>7.0744671700000001</v>
      </c>
      <c r="I28" s="103">
        <v>3.5435407158542001</v>
      </c>
      <c r="J28" s="103">
        <v>3.4751329875342702</v>
      </c>
      <c r="K28" s="103">
        <v>6.8407728319934399E-2</v>
      </c>
      <c r="L28" s="103">
        <v>4.6620860269853992</v>
      </c>
      <c r="M28" s="103">
        <v>0</v>
      </c>
      <c r="N28" s="103">
        <v>4.6601178100000009</v>
      </c>
      <c r="O28" s="112"/>
      <c r="P28" s="104">
        <v>192.14010194741999</v>
      </c>
      <c r="Q28" s="104">
        <v>0.26379619134043697</v>
      </c>
    </row>
    <row r="29" spans="1:17" ht="22.5" customHeight="1" thickBot="1" x14ac:dyDescent="0.4">
      <c r="A29" s="105" t="s">
        <v>356</v>
      </c>
      <c r="B29" s="106" t="s">
        <v>338</v>
      </c>
      <c r="C29" s="103">
        <v>14427.715899449851</v>
      </c>
      <c r="D29" s="103">
        <v>12710.571302669929</v>
      </c>
      <c r="E29" s="103">
        <v>1714.725139969958</v>
      </c>
      <c r="F29" s="103">
        <v>641.470881499965</v>
      </c>
      <c r="G29" s="103">
        <v>25.189281069999002</v>
      </c>
      <c r="H29" s="103">
        <v>595.695909099966</v>
      </c>
      <c r="I29" s="103">
        <v>24.009835285218799</v>
      </c>
      <c r="J29" s="103">
        <v>17.179876043956732</v>
      </c>
      <c r="K29" s="103">
        <v>6.8299592412619701</v>
      </c>
      <c r="L29" s="103">
        <v>142.94859557988519</v>
      </c>
      <c r="M29" s="103">
        <v>0.13443966125667839</v>
      </c>
      <c r="N29" s="103">
        <v>142.7124799570222</v>
      </c>
      <c r="O29" s="112"/>
      <c r="P29" s="104">
        <v>4289.71107830048</v>
      </c>
      <c r="Q29" s="104">
        <v>224.50340738582651</v>
      </c>
    </row>
    <row r="30" spans="1:17" ht="22.5" customHeight="1" thickBot="1" x14ac:dyDescent="0.4">
      <c r="A30" s="105" t="s">
        <v>357</v>
      </c>
      <c r="B30" s="106" t="s">
        <v>342</v>
      </c>
      <c r="C30" s="103">
        <v>24034.034288741499</v>
      </c>
      <c r="D30" s="103">
        <v>22073.753013692032</v>
      </c>
      <c r="E30" s="103">
        <v>1960.2812750493588</v>
      </c>
      <c r="F30" s="103">
        <v>284.91258274953606</v>
      </c>
      <c r="G30" s="103">
        <v>30.116027589979002</v>
      </c>
      <c r="H30" s="103">
        <v>210.57070368957801</v>
      </c>
      <c r="I30" s="103">
        <v>14.536533575938421</v>
      </c>
      <c r="J30" s="103">
        <v>7.7713216249738295</v>
      </c>
      <c r="K30" s="103">
        <v>6.7652119509626703</v>
      </c>
      <c r="L30" s="103">
        <v>31.549595522689689</v>
      </c>
      <c r="M30" s="103">
        <v>0.12012005660884291</v>
      </c>
      <c r="N30" s="103">
        <v>31.423460792836789</v>
      </c>
      <c r="O30" s="112"/>
      <c r="P30" s="104">
        <v>5616.93909686594</v>
      </c>
      <c r="Q30" s="104">
        <v>87.575309810219309</v>
      </c>
    </row>
    <row r="31" spans="1:17" ht="22.5" customHeight="1" thickBot="1" x14ac:dyDescent="0.4">
      <c r="A31" s="113" t="s">
        <v>358</v>
      </c>
      <c r="B31" s="114" t="s">
        <v>300</v>
      </c>
      <c r="C31" s="115">
        <f t="shared" ref="C31:Q31" si="2">C9+C10+C18+C24</f>
        <v>93115.893377445624</v>
      </c>
      <c r="D31" s="115">
        <f t="shared" si="2"/>
        <v>83072.340869855383</v>
      </c>
      <c r="E31" s="115">
        <f t="shared" si="2"/>
        <v>9918.9091231780185</v>
      </c>
      <c r="F31" s="115">
        <f t="shared" si="2"/>
        <v>4067.2037633065029</v>
      </c>
      <c r="G31" s="115">
        <f t="shared" si="2"/>
        <v>183.40168303997802</v>
      </c>
      <c r="H31" s="115">
        <f t="shared" si="2"/>
        <v>3696.352043306546</v>
      </c>
      <c r="I31" s="115">
        <f t="shared" si="2"/>
        <v>377.46842959988976</v>
      </c>
      <c r="J31" s="115">
        <f t="shared" si="2"/>
        <v>178.09242449014681</v>
      </c>
      <c r="K31" s="115">
        <f t="shared" si="2"/>
        <v>199.37600510974073</v>
      </c>
      <c r="L31" s="115">
        <f t="shared" si="2"/>
        <v>1041.2016915427391</v>
      </c>
      <c r="M31" s="115">
        <f t="shared" si="2"/>
        <v>7.8255891804300175</v>
      </c>
      <c r="N31" s="115">
        <f t="shared" si="2"/>
        <v>1028.0202250696593</v>
      </c>
      <c r="O31" s="115">
        <f t="shared" si="2"/>
        <v>0</v>
      </c>
      <c r="P31" s="115">
        <f t="shared" si="2"/>
        <v>46306.114162180085</v>
      </c>
      <c r="Q31" s="115">
        <f t="shared" si="2"/>
        <v>2757.2264291619185</v>
      </c>
    </row>
    <row r="33" spans="4:4" x14ac:dyDescent="0.35">
      <c r="D33" s="116"/>
    </row>
    <row r="36" spans="4:4" x14ac:dyDescent="0.35">
      <c r="D36" s="116"/>
    </row>
    <row r="37" spans="4:4" x14ac:dyDescent="0.35">
      <c r="D37" s="116"/>
    </row>
    <row r="38" spans="4:4" x14ac:dyDescent="0.35">
      <c r="D38" s="116"/>
    </row>
    <row r="39" spans="4:4" x14ac:dyDescent="0.35">
      <c r="D39" s="116"/>
    </row>
    <row r="40" spans="4:4" x14ac:dyDescent="0.35">
      <c r="D40" s="116"/>
    </row>
    <row r="41" spans="4:4" x14ac:dyDescent="0.35">
      <c r="D41" s="116"/>
    </row>
    <row r="42" spans="4:4" x14ac:dyDescent="0.35">
      <c r="D42" s="116"/>
    </row>
    <row r="43" spans="4:4" x14ac:dyDescent="0.35">
      <c r="D43" s="116"/>
    </row>
    <row r="44" spans="4:4" x14ac:dyDescent="0.35">
      <c r="D44" s="116"/>
    </row>
    <row r="45" spans="4:4" x14ac:dyDescent="0.35">
      <c r="D45" s="116"/>
    </row>
    <row r="46" spans="4:4" x14ac:dyDescent="0.35">
      <c r="D46" s="116"/>
    </row>
    <row r="47" spans="4:4" x14ac:dyDescent="0.35">
      <c r="D47" s="116"/>
    </row>
    <row r="48" spans="4:4" x14ac:dyDescent="0.35">
      <c r="D48" s="116"/>
    </row>
    <row r="49" spans="4:4" x14ac:dyDescent="0.35">
      <c r="D49" s="116"/>
    </row>
    <row r="50" spans="4:4" x14ac:dyDescent="0.35">
      <c r="D50" s="116"/>
    </row>
    <row r="51" spans="4:4" x14ac:dyDescent="0.35">
      <c r="D51" s="116"/>
    </row>
  </sheetData>
  <mergeCells count="10">
    <mergeCell ref="C6:H6"/>
    <mergeCell ref="I6:N6"/>
    <mergeCell ref="O6:O7"/>
    <mergeCell ref="P6:Q6"/>
    <mergeCell ref="C7:E7"/>
    <mergeCell ref="F7:H7"/>
    <mergeCell ref="I7:K7"/>
    <mergeCell ref="L7:N7"/>
    <mergeCell ref="P7:P8"/>
    <mergeCell ref="Q7:Q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C2C2-62B2-4ACF-955E-7D86C1175B2D}">
  <dimension ref="A2:H9"/>
  <sheetViews>
    <sheetView workbookViewId="0">
      <selection activeCell="D17" sqref="D16:D17"/>
    </sheetView>
  </sheetViews>
  <sheetFormatPr defaultRowHeight="14.5" x14ac:dyDescent="0.35"/>
  <cols>
    <col min="1" max="1" width="4.1796875" customWidth="1"/>
    <col min="2" max="2" width="26.453125" customWidth="1"/>
    <col min="3" max="8" width="14" customWidth="1"/>
  </cols>
  <sheetData>
    <row r="2" spans="1:8" ht="18.5" x14ac:dyDescent="0.35">
      <c r="A2" s="58" t="s">
        <v>359</v>
      </c>
    </row>
    <row r="3" spans="1:8" x14ac:dyDescent="0.35">
      <c r="A3" s="117"/>
    </row>
    <row r="4" spans="1:8" x14ac:dyDescent="0.35">
      <c r="A4" s="118"/>
      <c r="B4" s="119"/>
      <c r="C4" s="82" t="s">
        <v>226</v>
      </c>
      <c r="D4" s="82" t="s">
        <v>227</v>
      </c>
      <c r="E4" s="82" t="s">
        <v>228</v>
      </c>
      <c r="F4" s="82" t="s">
        <v>275</v>
      </c>
      <c r="G4" s="82" t="s">
        <v>276</v>
      </c>
      <c r="H4" s="82" t="s">
        <v>277</v>
      </c>
    </row>
    <row r="5" spans="1:8" x14ac:dyDescent="0.35">
      <c r="A5" s="120"/>
      <c r="B5" s="121" t="s">
        <v>62</v>
      </c>
      <c r="C5" s="537" t="s">
        <v>360</v>
      </c>
      <c r="D5" s="537"/>
      <c r="E5" s="537"/>
      <c r="F5" s="537"/>
      <c r="G5" s="537"/>
      <c r="H5" s="537"/>
    </row>
    <row r="6" spans="1:8" ht="29" x14ac:dyDescent="0.35">
      <c r="A6" s="120"/>
      <c r="B6" s="122"/>
      <c r="C6" s="123" t="s">
        <v>361</v>
      </c>
      <c r="D6" s="123" t="s">
        <v>362</v>
      </c>
      <c r="E6" s="123" t="s">
        <v>363</v>
      </c>
      <c r="F6" s="123" t="s">
        <v>364</v>
      </c>
      <c r="G6" s="123" t="s">
        <v>365</v>
      </c>
      <c r="H6" s="123" t="s">
        <v>300</v>
      </c>
    </row>
    <row r="7" spans="1:8" ht="15.5" x14ac:dyDescent="0.35">
      <c r="A7" s="124">
        <v>1</v>
      </c>
      <c r="B7" s="125" t="s">
        <v>329</v>
      </c>
      <c r="C7" s="126">
        <v>5112.6000000000004</v>
      </c>
      <c r="D7" s="127">
        <v>8836.7999999999993</v>
      </c>
      <c r="E7" s="127">
        <v>11871.6</v>
      </c>
      <c r="F7" s="127">
        <v>18491.8</v>
      </c>
      <c r="G7" s="127">
        <v>0</v>
      </c>
      <c r="H7" s="128">
        <v>44312.800000000003</v>
      </c>
    </row>
    <row r="8" spans="1:8" ht="15.5" x14ac:dyDescent="0.35">
      <c r="A8" s="124">
        <v>2</v>
      </c>
      <c r="B8" s="125" t="s">
        <v>366</v>
      </c>
      <c r="C8" s="129">
        <v>0</v>
      </c>
      <c r="D8" s="130">
        <v>0</v>
      </c>
      <c r="E8" s="130">
        <v>0</v>
      </c>
      <c r="F8" s="130" t="s">
        <v>367</v>
      </c>
      <c r="G8" s="130">
        <v>0</v>
      </c>
      <c r="H8" s="131">
        <v>0</v>
      </c>
    </row>
    <row r="9" spans="1:8" ht="15.5" x14ac:dyDescent="0.35">
      <c r="A9" s="132">
        <v>3</v>
      </c>
      <c r="B9" s="133" t="s">
        <v>300</v>
      </c>
      <c r="C9" s="134">
        <v>5112.6000000000004</v>
      </c>
      <c r="D9" s="135">
        <v>8836.7999999999993</v>
      </c>
      <c r="E9" s="135">
        <v>11871.6</v>
      </c>
      <c r="F9" s="135">
        <v>18491.8</v>
      </c>
      <c r="G9" s="135">
        <v>0</v>
      </c>
      <c r="H9" s="136">
        <v>44312.800000000003</v>
      </c>
    </row>
  </sheetData>
  <mergeCells count="1">
    <mergeCell ref="C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ED12-21BA-403F-A397-9CCD7903301A}">
  <dimension ref="A2:C11"/>
  <sheetViews>
    <sheetView workbookViewId="0">
      <selection activeCell="F22" sqref="F22"/>
    </sheetView>
  </sheetViews>
  <sheetFormatPr defaultRowHeight="14.5" x14ac:dyDescent="0.35"/>
  <cols>
    <col min="2" max="2" width="30" customWidth="1"/>
    <col min="3" max="3" width="23.7265625" customWidth="1"/>
  </cols>
  <sheetData>
    <row r="2" spans="1:3" s="57" customFormat="1" ht="18.5" x14ac:dyDescent="0.45">
      <c r="A2" s="58" t="s">
        <v>368</v>
      </c>
      <c r="B2" s="152"/>
      <c r="C2" s="152"/>
    </row>
    <row r="3" spans="1:3" ht="16" thickBot="1" x14ac:dyDescent="0.4">
      <c r="A3" s="137"/>
      <c r="B3" s="138"/>
      <c r="C3" s="138"/>
    </row>
    <row r="4" spans="1:3" ht="16" thickBot="1" x14ac:dyDescent="0.4">
      <c r="A4" s="139"/>
      <c r="B4" s="140" t="s">
        <v>62</v>
      </c>
      <c r="C4" s="140" t="s">
        <v>226</v>
      </c>
    </row>
    <row r="5" spans="1:3" ht="16" thickBot="1" x14ac:dyDescent="0.4">
      <c r="A5" s="141"/>
      <c r="B5" s="142"/>
      <c r="C5" s="143" t="s">
        <v>369</v>
      </c>
    </row>
    <row r="6" spans="1:3" ht="25.5" thickBot="1" x14ac:dyDescent="0.4">
      <c r="A6" s="144" t="s">
        <v>301</v>
      </c>
      <c r="B6" s="145" t="s">
        <v>370</v>
      </c>
      <c r="C6" s="146">
        <v>2796.8792308839998</v>
      </c>
    </row>
    <row r="7" spans="1:3" ht="25.5" thickBot="1" x14ac:dyDescent="0.4">
      <c r="A7" s="147" t="s">
        <v>305</v>
      </c>
      <c r="B7" s="148" t="s">
        <v>371</v>
      </c>
      <c r="C7" s="146">
        <v>791.39527962800094</v>
      </c>
    </row>
    <row r="8" spans="1:3" ht="25.5" thickBot="1" x14ac:dyDescent="0.4">
      <c r="A8" s="147" t="s">
        <v>331</v>
      </c>
      <c r="B8" s="148" t="s">
        <v>372</v>
      </c>
      <c r="C8" s="146">
        <v>-713.04547861499998</v>
      </c>
    </row>
    <row r="9" spans="1:3" ht="25.5" thickBot="1" x14ac:dyDescent="0.4">
      <c r="A9" s="147" t="s">
        <v>333</v>
      </c>
      <c r="B9" s="149" t="s">
        <v>373</v>
      </c>
      <c r="C9" s="146">
        <v>-21.679760469999998</v>
      </c>
    </row>
    <row r="10" spans="1:3" ht="25.5" thickBot="1" x14ac:dyDescent="0.4">
      <c r="A10" s="147" t="s">
        <v>335</v>
      </c>
      <c r="B10" s="149" t="s">
        <v>374</v>
      </c>
      <c r="C10" s="146">
        <v>-691.36571814500007</v>
      </c>
    </row>
    <row r="11" spans="1:3" ht="25.5" thickBot="1" x14ac:dyDescent="0.4">
      <c r="A11" s="150" t="s">
        <v>337</v>
      </c>
      <c r="B11" s="151" t="s">
        <v>375</v>
      </c>
      <c r="C11" s="146">
        <f>C6+C7+C8</f>
        <v>2875.2290318970008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1AD2D94F4B4E47A443DA39A8C292EB" ma:contentTypeVersion="10" ma:contentTypeDescription="Create a new document." ma:contentTypeScope="" ma:versionID="f3db2966958d3afc1c15fca5cf56ffde">
  <xsd:schema xmlns:xsd="http://www.w3.org/2001/XMLSchema" xmlns:xs="http://www.w3.org/2001/XMLSchema" xmlns:p="http://schemas.microsoft.com/office/2006/metadata/properties" xmlns:ns1="http://schemas.microsoft.com/sharepoint/v3" xmlns:ns2="4503b5b0-1c3d-4787-8f06-95566248ce39" xmlns:ns3="b90f467a-db87-4755-a522-e1eb0c299599" targetNamespace="http://schemas.microsoft.com/office/2006/metadata/properties" ma:root="true" ma:fieldsID="ae5bd0ea47269be5159c299bbbb53a5e" ns1:_="" ns2:_="" ns3:_="">
    <xsd:import namespace="http://schemas.microsoft.com/sharepoint/v3"/>
    <xsd:import namespace="4503b5b0-1c3d-4787-8f06-95566248ce39"/>
    <xsd:import namespace="b90f467a-db87-4755-a522-e1eb0c29959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03b5b0-1c3d-4787-8f06-95566248ce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f467a-db87-4755-a522-e1eb0c29959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3422B67-9BED-44AB-AA54-07533F72E115}">
  <ds:schemaRefs>
    <ds:schemaRef ds:uri="http://schemas.microsoft.com/sharepoint/v3/contenttype/forms"/>
  </ds:schemaRefs>
</ds:datastoreItem>
</file>

<file path=customXml/itemProps2.xml><?xml version="1.0" encoding="utf-8"?>
<ds:datastoreItem xmlns:ds="http://schemas.openxmlformats.org/officeDocument/2006/customXml" ds:itemID="{58963FF9-B348-47B5-9711-9B3240DDA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03b5b0-1c3d-4787-8f06-95566248ce39"/>
    <ds:schemaRef ds:uri="b90f467a-db87-4755-a522-e1eb0c299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0A5E6-7F14-47E0-80D5-C3A449EEAA01}">
  <ds:schemaRefs>
    <ds:schemaRef ds:uri="http://purl.org/dc/terms/"/>
    <ds:schemaRef ds:uri="http://schemas.openxmlformats.org/package/2006/metadata/core-properties"/>
    <ds:schemaRef ds:uri="http://schemas.microsoft.com/office/2006/documentManagement/types"/>
    <ds:schemaRef ds:uri="4503b5b0-1c3d-4787-8f06-95566248ce39"/>
    <ds:schemaRef ds:uri="http://purl.org/dc/elements/1.1/"/>
    <ds:schemaRef ds:uri="http://purl.org/dc/dcmitype/"/>
    <ds:schemaRef ds:uri="http://schemas.microsoft.com/office/infopath/2007/PartnerControls"/>
    <ds:schemaRef ds:uri="b90f467a-db87-4755-a522-e1eb0c299599"/>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22</vt:i4>
      </vt:variant>
    </vt:vector>
  </HeadingPairs>
  <TitlesOfParts>
    <vt:vector size="22" baseType="lpstr">
      <vt:lpstr>Indholdsfortegnelse</vt:lpstr>
      <vt:lpstr>Solvensbehov</vt:lpstr>
      <vt:lpstr>EU CC1 DK</vt:lpstr>
      <vt:lpstr>EU CC2 DK</vt:lpstr>
      <vt:lpstr>EU CCyB1 DK</vt:lpstr>
      <vt:lpstr>EU CCyB2 DK</vt:lpstr>
      <vt:lpstr>EU CR1 DK</vt:lpstr>
      <vt:lpstr>EU CR1-A DK</vt:lpstr>
      <vt:lpstr>EU CR2 DK</vt:lpstr>
      <vt:lpstr>EU CR3 DK</vt:lpstr>
      <vt:lpstr>EU CR4 DK</vt:lpstr>
      <vt:lpstr>EU CR5 DK</vt:lpstr>
      <vt:lpstr>EU CCR1 DK</vt:lpstr>
      <vt:lpstr>EU CCR2 DK</vt:lpstr>
      <vt:lpstr>EU CCR3 DK</vt:lpstr>
      <vt:lpstr>EU CCR5 DK</vt:lpstr>
      <vt:lpstr>EU CCR8 DK</vt:lpstr>
      <vt:lpstr>EU MR1 DK</vt:lpstr>
      <vt:lpstr>EU IRRBB1 DK</vt:lpstr>
      <vt:lpstr>EU LIQ2 DK</vt:lpstr>
      <vt:lpstr>EU LR1 - LRSum DK</vt:lpstr>
      <vt:lpstr>EU LR2 - LRCom 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Mads Mathiassen</dc:creator>
  <cp:keywords/>
  <dc:description/>
  <cp:lastModifiedBy>Mads Mathiassen</cp:lastModifiedBy>
  <cp:revision/>
  <dcterms:created xsi:type="dcterms:W3CDTF">2022-08-10T12:32:49Z</dcterms:created>
  <dcterms:modified xsi:type="dcterms:W3CDTF">2022-08-11T09:31:52Z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0x0101000D1AD2D94F4B4E47A443DA39A8C292EB</vt:lpwstr>
  </property>
</Properties>
</file>